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0" windowWidth="20355" windowHeight="6420"/>
  </bookViews>
  <sheets>
    <sheet name="Introduction" sheetId="8" r:id="rId1"/>
    <sheet name="Cage" sheetId="6" r:id="rId2"/>
    <sheet name="Parc" sheetId="7" r:id="rId3"/>
    <sheet name="Prairies" sheetId="9" r:id="rId4"/>
  </sheets>
  <calcPr calcId="145621"/>
</workbook>
</file>

<file path=xl/calcChain.xml><?xml version="1.0" encoding="utf-8"?>
<calcChain xmlns="http://schemas.openxmlformats.org/spreadsheetml/2006/main">
  <c r="C14" i="9" l="1"/>
  <c r="C15" i="9" s="1"/>
  <c r="C16" i="9" s="1"/>
  <c r="C17" i="9" s="1"/>
  <c r="C18" i="9" s="1"/>
  <c r="C19" i="9" s="1"/>
  <c r="C20" i="9" s="1"/>
  <c r="C21" i="9" s="1"/>
  <c r="C22" i="9" s="1"/>
  <c r="B44" i="7"/>
  <c r="B45" i="7" s="1"/>
  <c r="B46" i="7" s="1"/>
  <c r="B47" i="7" s="1"/>
  <c r="B48" i="7" s="1"/>
  <c r="B49" i="7" s="1"/>
  <c r="B50" i="7" s="1"/>
  <c r="B51" i="7" s="1"/>
  <c r="B43" i="7"/>
  <c r="W42" i="7"/>
  <c r="V42" i="7"/>
  <c r="O42" i="7"/>
  <c r="N42" i="7"/>
  <c r="M42" i="7"/>
  <c r="J42" i="7"/>
  <c r="H42" i="7"/>
  <c r="G42" i="7"/>
  <c r="F42" i="7"/>
  <c r="E42" i="7"/>
  <c r="D42" i="7"/>
  <c r="K42" i="7" s="1"/>
  <c r="C42" i="7"/>
  <c r="C43" i="7" s="1"/>
  <c r="C44" i="7" s="1"/>
  <c r="C45" i="7" s="1"/>
  <c r="C46" i="7" s="1"/>
  <c r="C47" i="7" s="1"/>
  <c r="C48" i="7" s="1"/>
  <c r="C49" i="7" s="1"/>
  <c r="C50" i="7" s="1"/>
  <c r="C51" i="7" s="1"/>
  <c r="V17" i="7"/>
  <c r="V16" i="7"/>
  <c r="V15" i="7"/>
  <c r="V14" i="7"/>
  <c r="V13" i="7"/>
  <c r="V12" i="7"/>
  <c r="V11" i="7"/>
  <c r="V10" i="7"/>
  <c r="V9" i="7"/>
  <c r="V8" i="7"/>
  <c r="V7" i="7"/>
  <c r="V6" i="7"/>
  <c r="D43" i="7" l="1"/>
  <c r="V43" i="7"/>
  <c r="N43" i="7"/>
  <c r="W43" i="7"/>
  <c r="O43" i="7"/>
  <c r="M43" i="7"/>
  <c r="F43" i="7"/>
  <c r="E43" i="7"/>
  <c r="D44" i="7" s="1"/>
  <c r="AB42" i="7"/>
  <c r="R42" i="7"/>
  <c r="P42" i="7"/>
  <c r="Q42" i="7"/>
  <c r="S42" i="7" l="1"/>
  <c r="T42" i="7" s="1"/>
  <c r="U42" i="7" s="1"/>
  <c r="Z42" i="7" s="1"/>
  <c r="AD42" i="7" s="1"/>
  <c r="I43" i="7" l="1"/>
  <c r="J43" i="7" s="1"/>
  <c r="K43" i="7" s="1"/>
  <c r="AA42" i="7"/>
  <c r="X42" i="7"/>
  <c r="Y42" i="7"/>
  <c r="AC42" i="7" s="1"/>
  <c r="AE42" i="7" s="1"/>
  <c r="G43" i="7" s="1"/>
  <c r="W44" i="7" l="1"/>
  <c r="O44" i="7"/>
  <c r="M44" i="7"/>
  <c r="F44" i="7"/>
  <c r="V44" i="7"/>
  <c r="N44" i="7"/>
  <c r="E44" i="7"/>
  <c r="D45" i="7" s="1"/>
  <c r="H43" i="7"/>
  <c r="R43" i="7" l="1"/>
  <c r="AB43" i="7"/>
  <c r="P43" i="7"/>
  <c r="Q43" i="7"/>
  <c r="S43" i="7" l="1"/>
  <c r="T43" i="7" s="1"/>
  <c r="U43" i="7" s="1"/>
  <c r="Z43" i="7" l="1"/>
  <c r="AD43" i="7" s="1"/>
  <c r="AA43" i="7"/>
  <c r="Y43" i="7"/>
  <c r="AC43" i="7" s="1"/>
  <c r="AE43" i="7" s="1"/>
  <c r="X43" i="7"/>
  <c r="I44" i="7"/>
  <c r="J44" i="7" s="1"/>
  <c r="K44" i="7" s="1"/>
  <c r="G44" i="7" l="1"/>
  <c r="V45" i="7" l="1"/>
  <c r="N45" i="7"/>
  <c r="E45" i="7"/>
  <c r="D46" i="7" s="1"/>
  <c r="W45" i="7"/>
  <c r="O45" i="7"/>
  <c r="M45" i="7"/>
  <c r="F45" i="7"/>
  <c r="H44" i="7"/>
  <c r="AB44" i="7" l="1"/>
  <c r="Q44" i="7"/>
  <c r="R44" i="7"/>
  <c r="P44" i="7"/>
  <c r="S44" i="7" l="1"/>
  <c r="T44" i="7" l="1"/>
  <c r="U44" i="7" s="1"/>
  <c r="AA44" i="7" l="1"/>
  <c r="Z44" i="7"/>
  <c r="AD44" i="7" s="1"/>
  <c r="I45" i="7"/>
  <c r="J45" i="7" s="1"/>
  <c r="K45" i="7" s="1"/>
  <c r="Y44" i="7"/>
  <c r="AC44" i="7" s="1"/>
  <c r="AE44" i="7" s="1"/>
  <c r="X44" i="7"/>
  <c r="G45" i="7" l="1"/>
  <c r="W46" i="7" l="1"/>
  <c r="O46" i="7"/>
  <c r="M46" i="7"/>
  <c r="F46" i="7"/>
  <c r="V46" i="7"/>
  <c r="N46" i="7"/>
  <c r="E46" i="7"/>
  <c r="D47" i="7" s="1"/>
  <c r="H45" i="7"/>
  <c r="Q45" i="7" l="1"/>
  <c r="AB45" i="7"/>
  <c r="P45" i="7"/>
  <c r="R45" i="7"/>
  <c r="S45" i="7" l="1"/>
  <c r="T45" i="7" l="1"/>
  <c r="U45" i="7" s="1"/>
  <c r="AA45" i="7" l="1"/>
  <c r="Y45" i="7"/>
  <c r="AC45" i="7" s="1"/>
  <c r="I46" i="7"/>
  <c r="J46" i="7" s="1"/>
  <c r="K46" i="7" s="1"/>
  <c r="Z45" i="7"/>
  <c r="AD45" i="7" s="1"/>
  <c r="X45" i="7"/>
  <c r="AE45" i="7"/>
  <c r="G46" i="7" s="1"/>
  <c r="V47" i="7" l="1"/>
  <c r="N47" i="7"/>
  <c r="E47" i="7"/>
  <c r="D48" i="7" s="1"/>
  <c r="W47" i="7"/>
  <c r="O47" i="7"/>
  <c r="F47" i="7"/>
  <c r="M47" i="7"/>
  <c r="H46" i="7"/>
  <c r="R46" i="7" l="1"/>
  <c r="Q46" i="7"/>
  <c r="AB46" i="7"/>
  <c r="P46" i="7"/>
  <c r="S46" i="7" s="1"/>
  <c r="T46" i="7" l="1"/>
  <c r="U46" i="7" s="1"/>
  <c r="AA46" i="7" l="1"/>
  <c r="Y46" i="7"/>
  <c r="AC46" i="7" s="1"/>
  <c r="AE46" i="7" s="1"/>
  <c r="G47" i="7" s="1"/>
  <c r="I47" i="7"/>
  <c r="J47" i="7" s="1"/>
  <c r="K47" i="7" s="1"/>
  <c r="X46" i="7"/>
  <c r="Z46" i="7"/>
  <c r="AD46" i="7" s="1"/>
  <c r="W48" i="7" l="1"/>
  <c r="O48" i="7"/>
  <c r="M48" i="7"/>
  <c r="F48" i="7"/>
  <c r="V48" i="7"/>
  <c r="N48" i="7"/>
  <c r="E48" i="7"/>
  <c r="D49" i="7" s="1"/>
  <c r="H47" i="7"/>
  <c r="R47" i="7" l="1"/>
  <c r="AB47" i="7"/>
  <c r="P47" i="7"/>
  <c r="Q47" i="7"/>
  <c r="S47" i="7" l="1"/>
  <c r="T47" i="7" l="1"/>
  <c r="U47" i="7" s="1"/>
  <c r="Z47" i="7" l="1"/>
  <c r="AD47" i="7" s="1"/>
  <c r="Y47" i="7"/>
  <c r="AC47" i="7" s="1"/>
  <c r="AE47" i="7" s="1"/>
  <c r="G48" i="7" s="1"/>
  <c r="V49" i="7" s="1"/>
  <c r="I48" i="7"/>
  <c r="J48" i="7" s="1"/>
  <c r="K48" i="7" s="1"/>
  <c r="AA47" i="7"/>
  <c r="X47" i="7"/>
  <c r="N49" i="7"/>
  <c r="O49" i="7" l="1"/>
  <c r="H48" i="7"/>
  <c r="R48" i="7" s="1"/>
  <c r="M49" i="7"/>
  <c r="F49" i="7"/>
  <c r="W49" i="7"/>
  <c r="E49" i="7"/>
  <c r="D50" i="7" s="1"/>
  <c r="AB48" i="7"/>
  <c r="P48" i="7"/>
  <c r="Q48" i="7" l="1"/>
  <c r="S48" i="7"/>
  <c r="T48" i="7" l="1"/>
  <c r="U48" i="7" s="1"/>
  <c r="X48" i="7" l="1"/>
  <c r="AA48" i="7"/>
  <c r="Y48" i="7"/>
  <c r="AC48" i="7" s="1"/>
  <c r="I49" i="7"/>
  <c r="J49" i="7" s="1"/>
  <c r="K49" i="7" s="1"/>
  <c r="Z48" i="7"/>
  <c r="AD48" i="7" s="1"/>
  <c r="AE48" i="7" l="1"/>
  <c r="G49" i="7" s="1"/>
  <c r="O50" i="7" l="1"/>
  <c r="F50" i="7"/>
  <c r="N50" i="7"/>
  <c r="H49" i="7"/>
  <c r="V50" i="7"/>
  <c r="W50" i="7"/>
  <c r="M50" i="7"/>
  <c r="E50" i="7"/>
  <c r="D51" i="7" s="1"/>
  <c r="Q49" i="7" l="1"/>
  <c r="R49" i="7"/>
  <c r="AB49" i="7"/>
  <c r="P49" i="7"/>
  <c r="S49" i="7" s="1"/>
  <c r="T49" i="7" l="1"/>
  <c r="U49" i="7" s="1"/>
  <c r="Z49" i="7" l="1"/>
  <c r="AD49" i="7" s="1"/>
  <c r="AA49" i="7"/>
  <c r="Y49" i="7"/>
  <c r="AC49" i="7" s="1"/>
  <c r="AE49" i="7" s="1"/>
  <c r="G50" i="7" s="1"/>
  <c r="X49" i="7"/>
  <c r="I50" i="7"/>
  <c r="J50" i="7" s="1"/>
  <c r="K50" i="7" s="1"/>
  <c r="V51" i="7" l="1"/>
  <c r="E51" i="7"/>
  <c r="O51" i="7"/>
  <c r="M51" i="7"/>
  <c r="N51" i="7"/>
  <c r="W51" i="7"/>
  <c r="AD20" i="7" s="1"/>
  <c r="AF20" i="7" s="1"/>
  <c r="F51" i="7"/>
  <c r="H50" i="7"/>
  <c r="P50" i="7" l="1"/>
  <c r="Q50" i="7"/>
  <c r="R50" i="7"/>
  <c r="AB50" i="7"/>
  <c r="AD21" i="7"/>
  <c r="AF21" i="7" s="1"/>
  <c r="AE21" i="7"/>
  <c r="AG21" i="7" s="1"/>
  <c r="S50" i="7" l="1"/>
  <c r="T50" i="7" l="1"/>
  <c r="U50" i="7" s="1"/>
  <c r="X50" i="7" l="1"/>
  <c r="Y50" i="7"/>
  <c r="AC50" i="7" s="1"/>
  <c r="AA50" i="7"/>
  <c r="Z50" i="7"/>
  <c r="AD50" i="7" s="1"/>
  <c r="I51" i="7"/>
  <c r="J51" i="7" s="1"/>
  <c r="K51" i="7" s="1"/>
  <c r="AE50" i="7" l="1"/>
  <c r="G51" i="7" s="1"/>
  <c r="AD26" i="7" l="1"/>
  <c r="AE26" i="7" s="1"/>
  <c r="H51" i="7"/>
  <c r="B40" i="6"/>
  <c r="B41" i="6" s="1"/>
  <c r="B42" i="6" s="1"/>
  <c r="B43" i="6" s="1"/>
  <c r="B44" i="6" s="1"/>
  <c r="B45" i="6" s="1"/>
  <c r="B46" i="6" s="1"/>
  <c r="B47" i="6" s="1"/>
  <c r="B48" i="6" s="1"/>
  <c r="AB51" i="7" l="1"/>
  <c r="Q51" i="7"/>
  <c r="P51" i="7"/>
  <c r="R51" i="7"/>
  <c r="M39" i="6"/>
  <c r="N39" i="6"/>
  <c r="O39" i="6"/>
  <c r="S51" i="7" l="1"/>
  <c r="E39" i="6"/>
  <c r="D40" i="6" s="1"/>
  <c r="D39" i="6"/>
  <c r="T51" i="7" l="1"/>
  <c r="U51" i="7" s="1"/>
  <c r="G39" i="6"/>
  <c r="Y51" i="7" l="1"/>
  <c r="AC51" i="7" s="1"/>
  <c r="AA51" i="7"/>
  <c r="AE22" i="7"/>
  <c r="AG22" i="7" s="1"/>
  <c r="AD22" i="7"/>
  <c r="AF22" i="7" s="1"/>
  <c r="AC30" i="7" s="1"/>
  <c r="Z51" i="7"/>
  <c r="AD51" i="7" s="1"/>
  <c r="X51" i="7"/>
  <c r="AE20" i="7"/>
  <c r="AG20" i="7" s="1"/>
  <c r="N40" i="6"/>
  <c r="M40" i="6"/>
  <c r="J40" i="6"/>
  <c r="K40" i="6" s="1"/>
  <c r="V40" i="6"/>
  <c r="O40" i="6"/>
  <c r="E40" i="6"/>
  <c r="D41" i="6" s="1"/>
  <c r="W40" i="6"/>
  <c r="W39" i="6"/>
  <c r="V39" i="6"/>
  <c r="J39" i="6"/>
  <c r="K39" i="6" s="1"/>
  <c r="C39" i="6"/>
  <c r="C40" i="6" s="1"/>
  <c r="C41" i="6" s="1"/>
  <c r="C42" i="6" s="1"/>
  <c r="C43" i="6" s="1"/>
  <c r="C44" i="6" s="1"/>
  <c r="C45" i="6" s="1"/>
  <c r="C46" i="6" s="1"/>
  <c r="C47" i="6" s="1"/>
  <c r="C48" i="6" s="1"/>
  <c r="AD30" i="7" l="1"/>
  <c r="AF30" i="7"/>
  <c r="AE51" i="7"/>
  <c r="AD33" i="7" s="1"/>
  <c r="F40" i="6"/>
  <c r="F39" i="6"/>
  <c r="H39" i="6"/>
  <c r="AB39" i="6" s="1"/>
  <c r="Q39" i="6" l="1"/>
  <c r="R39" i="6"/>
  <c r="P39" i="6"/>
  <c r="S39" i="6" l="1"/>
  <c r="T39" i="6" s="1"/>
  <c r="U39" i="6" s="1"/>
  <c r="Z39" i="6" s="1"/>
  <c r="AD39" i="6" s="1"/>
  <c r="Y39" i="6" l="1"/>
  <c r="AC39" i="6" s="1"/>
  <c r="AE39" i="6" s="1"/>
  <c r="AA39" i="6"/>
  <c r="X39" i="6"/>
  <c r="G40" i="6" l="1"/>
  <c r="N41" i="6" s="1"/>
  <c r="W41" i="6" l="1"/>
  <c r="O41" i="6"/>
  <c r="J41" i="6"/>
  <c r="K41" i="6" s="1"/>
  <c r="H40" i="6"/>
  <c r="M41" i="6"/>
  <c r="R40" i="6"/>
  <c r="E41" i="6"/>
  <c r="D42" i="6" s="1"/>
  <c r="V41" i="6"/>
  <c r="F41" i="6"/>
  <c r="AB40" i="6" l="1"/>
  <c r="P40" i="6"/>
  <c r="Q40" i="6"/>
  <c r="S40" i="6" l="1"/>
  <c r="T40" i="6" s="1"/>
  <c r="U40" i="6" s="1"/>
  <c r="AA40" i="6" l="1"/>
  <c r="X40" i="6"/>
  <c r="Z40" i="6"/>
  <c r="AD40" i="6" s="1"/>
  <c r="Y40" i="6"/>
  <c r="AC40" i="6" s="1"/>
  <c r="AE40" i="6" l="1"/>
  <c r="G41" i="6" s="1"/>
  <c r="O42" i="6" s="1"/>
  <c r="F42" i="6"/>
  <c r="E42" i="6"/>
  <c r="D43" i="6" s="1"/>
  <c r="V42" i="6"/>
  <c r="M42" i="6"/>
  <c r="W42" i="6"/>
  <c r="N42" i="6" l="1"/>
  <c r="H41" i="6"/>
  <c r="J42" i="6"/>
  <c r="K42" i="6" s="1"/>
  <c r="Q41" i="6" l="1"/>
  <c r="P41" i="6"/>
  <c r="AB41" i="6"/>
  <c r="R41" i="6"/>
  <c r="S41" i="6" l="1"/>
  <c r="T41" i="6" s="1"/>
  <c r="U41" i="6" s="1"/>
  <c r="Z41" i="6" s="1"/>
  <c r="AD41" i="6" s="1"/>
  <c r="X41" i="6"/>
  <c r="AA41" i="6"/>
  <c r="Y41" i="6"/>
  <c r="AC41" i="6" s="1"/>
  <c r="AE41" i="6" s="1"/>
  <c r="G42" i="6" l="1"/>
  <c r="W43" i="6" s="1"/>
  <c r="J43" i="6" l="1"/>
  <c r="K43" i="6" s="1"/>
  <c r="O43" i="6"/>
  <c r="V43" i="6"/>
  <c r="E43" i="6"/>
  <c r="D44" i="6" s="1"/>
  <c r="F43" i="6"/>
  <c r="H42" i="6"/>
  <c r="M43" i="6"/>
  <c r="N43" i="6"/>
  <c r="P42" i="6" l="1"/>
  <c r="AB42" i="6"/>
  <c r="R42" i="6"/>
  <c r="Q42" i="6"/>
  <c r="S42" i="6" l="1"/>
  <c r="T42" i="6" s="1"/>
  <c r="U42" i="6" s="1"/>
  <c r="Z42" i="6" l="1"/>
  <c r="AD42" i="6" s="1"/>
  <c r="X42" i="6"/>
  <c r="Y42" i="6"/>
  <c r="AC42" i="6" s="1"/>
  <c r="AE42" i="6" s="1"/>
  <c r="AA42" i="6"/>
  <c r="G43" i="6" l="1"/>
  <c r="M44" i="6" l="1"/>
  <c r="F44" i="6"/>
  <c r="W44" i="6"/>
  <c r="V44" i="6"/>
  <c r="N44" i="6"/>
  <c r="O44" i="6"/>
  <c r="E44" i="6"/>
  <c r="D45" i="6" s="1"/>
  <c r="H43" i="6"/>
  <c r="J44" i="6"/>
  <c r="K44" i="6" s="1"/>
  <c r="Q43" i="6" l="1"/>
  <c r="AB43" i="6"/>
  <c r="R43" i="6"/>
  <c r="P43" i="6"/>
  <c r="S43" i="6" s="1"/>
  <c r="T43" i="6" s="1"/>
  <c r="U43" i="6" s="1"/>
  <c r="AA43" i="6" l="1"/>
  <c r="Y43" i="6"/>
  <c r="AC43" i="6" s="1"/>
  <c r="Z43" i="6"/>
  <c r="AD43" i="6" s="1"/>
  <c r="X43" i="6"/>
  <c r="AE43" i="6" l="1"/>
  <c r="G44" i="6"/>
  <c r="E45" i="6" l="1"/>
  <c r="D46" i="6" s="1"/>
  <c r="V45" i="6"/>
  <c r="M45" i="6"/>
  <c r="F45" i="6"/>
  <c r="H44" i="6"/>
  <c r="N45" i="6"/>
  <c r="W45" i="6"/>
  <c r="O45" i="6"/>
  <c r="J45" i="6"/>
  <c r="K45" i="6" s="1"/>
  <c r="AB44" i="6" l="1"/>
  <c r="Q44" i="6"/>
  <c r="R44" i="6"/>
  <c r="P44" i="6"/>
  <c r="S44" i="6" l="1"/>
  <c r="T44" i="6" s="1"/>
  <c r="U44" i="6" s="1"/>
  <c r="AA44" i="6" s="1"/>
  <c r="Y44" i="6" l="1"/>
  <c r="AC44" i="6" s="1"/>
  <c r="Z44" i="6"/>
  <c r="AD44" i="6" s="1"/>
  <c r="X44" i="6"/>
  <c r="AE44" i="6" l="1"/>
  <c r="G45" i="6" s="1"/>
  <c r="H45" i="6" s="1"/>
  <c r="E46" i="6" l="1"/>
  <c r="D47" i="6" s="1"/>
  <c r="F46" i="6"/>
  <c r="O46" i="6"/>
  <c r="J46" i="6"/>
  <c r="K46" i="6" s="1"/>
  <c r="V46" i="6"/>
  <c r="W46" i="6"/>
  <c r="M46" i="6"/>
  <c r="N46" i="6"/>
  <c r="R45" i="6"/>
  <c r="P45" i="6"/>
  <c r="AB45" i="6"/>
  <c r="Q45" i="6"/>
  <c r="S45" i="6" l="1"/>
  <c r="T45" i="6" s="1"/>
  <c r="U45" i="6" s="1"/>
  <c r="AA45" i="6" l="1"/>
  <c r="Y45" i="6"/>
  <c r="AC45" i="6" s="1"/>
  <c r="AE45" i="6" s="1"/>
  <c r="G46" i="6" s="1"/>
  <c r="H46" i="6" s="1"/>
  <c r="R46" i="6" s="1"/>
  <c r="Z45" i="6"/>
  <c r="AD45" i="6" s="1"/>
  <c r="X45" i="6"/>
  <c r="Q46" i="6" l="1"/>
  <c r="AB46" i="6"/>
  <c r="P46" i="6"/>
  <c r="F47" i="6"/>
  <c r="M47" i="6"/>
  <c r="N47" i="6"/>
  <c r="V47" i="6"/>
  <c r="O47" i="6"/>
  <c r="E47" i="6"/>
  <c r="D48" i="6" s="1"/>
  <c r="W47" i="6"/>
  <c r="J47" i="6"/>
  <c r="K47" i="6" s="1"/>
  <c r="S46" i="6" l="1"/>
  <c r="T46" i="6" s="1"/>
  <c r="U46" i="6" s="1"/>
  <c r="AA46" i="6" l="1"/>
  <c r="Z46" i="6"/>
  <c r="AD46" i="6" s="1"/>
  <c r="Y46" i="6"/>
  <c r="AC46" i="6" s="1"/>
  <c r="X46" i="6"/>
  <c r="AE46" i="6" l="1"/>
  <c r="G47" i="6" s="1"/>
  <c r="H47" i="6" s="1"/>
  <c r="Q47" i="6" l="1"/>
  <c r="AB47" i="6"/>
  <c r="R47" i="6"/>
  <c r="P47" i="6"/>
  <c r="E48" i="6"/>
  <c r="O48" i="6"/>
  <c r="N48" i="6"/>
  <c r="M48" i="6"/>
  <c r="V48" i="6"/>
  <c r="F48" i="6"/>
  <c r="J48" i="6"/>
  <c r="K48" i="6" s="1"/>
  <c r="W48" i="6"/>
  <c r="S47" i="6" l="1"/>
  <c r="T47" i="6" s="1"/>
  <c r="U47" i="6" s="1"/>
  <c r="X47" i="6" s="1"/>
  <c r="AC20" i="6"/>
  <c r="AE20" i="6" s="1"/>
  <c r="AD20" i="6"/>
  <c r="AF20" i="6" s="1"/>
  <c r="AD21" i="6"/>
  <c r="AF21" i="6" s="1"/>
  <c r="AC21" i="6"/>
  <c r="AE21" i="6" s="1"/>
  <c r="Y47" i="6" l="1"/>
  <c r="AC47" i="6" s="1"/>
  <c r="AA47" i="6"/>
  <c r="Z47" i="6"/>
  <c r="AD47" i="6" s="1"/>
  <c r="AE47" i="6" l="1"/>
  <c r="G48" i="6" s="1"/>
  <c r="AC26" i="6" s="1"/>
  <c r="AD26" i="6" s="1"/>
  <c r="H48" i="6" l="1"/>
  <c r="P48" i="6" s="1"/>
  <c r="R48" i="6"/>
  <c r="Q48" i="6"/>
  <c r="AB48" i="6"/>
  <c r="S48" i="6" l="1"/>
  <c r="T48" i="6" s="1"/>
  <c r="U48" i="6" s="1"/>
  <c r="AD22" i="6" l="1"/>
  <c r="AF22" i="6" s="1"/>
  <c r="AC22" i="6"/>
  <c r="AE22" i="6" s="1"/>
  <c r="AB30" i="6" s="1"/>
  <c r="Z48" i="6"/>
  <c r="AD48" i="6" s="1"/>
  <c r="X48" i="6"/>
  <c r="AA48" i="6"/>
  <c r="Y48" i="6"/>
  <c r="AC48" i="6" s="1"/>
  <c r="AE48" i="6" l="1"/>
  <c r="AC33" i="6" s="1"/>
  <c r="AC30" i="6"/>
  <c r="AE30" i="6"/>
</calcChain>
</file>

<file path=xl/comments1.xml><?xml version="1.0" encoding="utf-8"?>
<comments xmlns="http://schemas.openxmlformats.org/spreadsheetml/2006/main">
  <authors>
    <author>gm</author>
  </authors>
  <commentList>
    <comment ref="H10" authorId="0">
      <text>
        <r>
          <rPr>
            <sz val="11"/>
            <color indexed="81"/>
            <rFont val="Calibri"/>
            <family val="2"/>
            <scheme val="minor"/>
          </rPr>
          <t>Minimum: 1kg</t>
        </r>
      </text>
    </comment>
  </commentList>
</comments>
</file>

<file path=xl/comments2.xml><?xml version="1.0" encoding="utf-8"?>
<comments xmlns="http://schemas.openxmlformats.org/spreadsheetml/2006/main">
  <authors>
    <author>gm</author>
  </authors>
  <commentList>
    <comment ref="H10" authorId="0">
      <text>
        <r>
          <rPr>
            <sz val="11"/>
            <color indexed="81"/>
            <rFont val="Calibri"/>
            <family val="2"/>
            <scheme val="minor"/>
          </rPr>
          <t>Minimum: 1kg</t>
        </r>
      </text>
    </comment>
    <comment ref="I42" authorId="0">
      <text>
        <r>
          <rPr>
            <sz val="11"/>
            <color indexed="81"/>
            <rFont val="Calibri"/>
            <family val="2"/>
            <scheme val="minor"/>
          </rPr>
          <t>Minimum: 2 tMS/ha</t>
        </r>
      </text>
    </comment>
  </commentList>
</comments>
</file>

<file path=xl/sharedStrings.xml><?xml version="1.0" encoding="utf-8"?>
<sst xmlns="http://schemas.openxmlformats.org/spreadsheetml/2006/main" count="495" uniqueCount="184">
  <si>
    <t>Granulé</t>
  </si>
  <si>
    <t>Rationnement</t>
  </si>
  <si>
    <t>Herbe</t>
  </si>
  <si>
    <t>Biomasse de la prairie</t>
  </si>
  <si>
    <t>Foin</t>
  </si>
  <si>
    <t>Lapin</t>
  </si>
  <si>
    <t>g/j</t>
  </si>
  <si>
    <t>t MS/ha</t>
  </si>
  <si>
    <t>g MS/j</t>
  </si>
  <si>
    <t>kg</t>
  </si>
  <si>
    <t>%</t>
  </si>
  <si>
    <t>Unité</t>
  </si>
  <si>
    <t>Valeur</t>
  </si>
  <si>
    <t>Age</t>
  </si>
  <si>
    <t>j</t>
  </si>
  <si>
    <t>jj/mm/aaaa</t>
  </si>
  <si>
    <t>g MS/j/lapin</t>
  </si>
  <si>
    <t>Ingestion</t>
  </si>
  <si>
    <t>Taux de matière sèche du granulé</t>
  </si>
  <si>
    <t>Taux de matière sèche du foin</t>
  </si>
  <si>
    <t>Ne pas modifier</t>
  </si>
  <si>
    <t xml:space="preserve">Date </t>
  </si>
  <si>
    <t>Intitulés</t>
  </si>
  <si>
    <t>Blocs</t>
  </si>
  <si>
    <t>Domaines</t>
  </si>
  <si>
    <t>Ingestion d'herbe par lapin</t>
  </si>
  <si>
    <t>Ingestion de foin par lapin</t>
  </si>
  <si>
    <t>Ingestion de granulé par lapin</t>
  </si>
  <si>
    <t>Lapins</t>
  </si>
  <si>
    <t>Age moyen au sevrage</t>
  </si>
  <si>
    <t>Poids</t>
  </si>
  <si>
    <t>Poids métabolique</t>
  </si>
  <si>
    <t>Date du sevrage, début d'engraissement</t>
  </si>
  <si>
    <t>g MS/m²</t>
  </si>
  <si>
    <t>Semaine d'engraissement</t>
  </si>
  <si>
    <t>sem</t>
  </si>
  <si>
    <t>Prairie</t>
  </si>
  <si>
    <t>Age de la pousse</t>
  </si>
  <si>
    <t>°C/j</t>
  </si>
  <si>
    <t>Chargement</t>
  </si>
  <si>
    <t>m²/lapin</t>
  </si>
  <si>
    <t>Efficience d'utilisation</t>
  </si>
  <si>
    <t>Type de prairie</t>
  </si>
  <si>
    <t>Offre au pâturage</t>
  </si>
  <si>
    <t>g MS/lapin</t>
  </si>
  <si>
    <t>Ingestion potentielle d'herbe</t>
  </si>
  <si>
    <t xml:space="preserve">MAT </t>
  </si>
  <si>
    <t>Ingestion totale MS par lapin</t>
  </si>
  <si>
    <t>Ingestion totale MAT par lapin</t>
  </si>
  <si>
    <t>g MAT/j</t>
  </si>
  <si>
    <t>Croissance</t>
  </si>
  <si>
    <t>Alimentation</t>
  </si>
  <si>
    <t xml:space="preserve">Paramètres </t>
  </si>
  <si>
    <t>/</t>
  </si>
  <si>
    <t>Poids au sevrage</t>
  </si>
  <si>
    <t>Poids à la vente</t>
  </si>
  <si>
    <t>A renseigner</t>
  </si>
  <si>
    <t>Consignes pour l'utilisation de ce simulateur</t>
  </si>
  <si>
    <t>Coût concentré</t>
  </si>
  <si>
    <t>€/t</t>
  </si>
  <si>
    <t>Coût foin</t>
  </si>
  <si>
    <t>Coût herbe pâturée</t>
  </si>
  <si>
    <t>€/t MS</t>
  </si>
  <si>
    <t>Economie</t>
  </si>
  <si>
    <t>Coûts</t>
  </si>
  <si>
    <t>lapins</t>
  </si>
  <si>
    <t>Effectif</t>
  </si>
  <si>
    <t>par lapin</t>
  </si>
  <si>
    <t>Coût alimentaire (€)</t>
  </si>
  <si>
    <t>par bande</t>
  </si>
  <si>
    <t>Conso totale (kg MS)</t>
  </si>
  <si>
    <t>Produit brut (€)</t>
  </si>
  <si>
    <t>Rendement carcasse</t>
  </si>
  <si>
    <t>Vente</t>
  </si>
  <si>
    <t>Prix de vente</t>
  </si>
  <si>
    <t>€/kg</t>
  </si>
  <si>
    <t>Marge brute sur le coût alimentaire (€)</t>
  </si>
  <si>
    <t>Fibres ADF</t>
  </si>
  <si>
    <t>Taux de fibres ADF initial</t>
  </si>
  <si>
    <t>Taux de fibres ADF</t>
  </si>
  <si>
    <t>Taux de MAT initial</t>
  </si>
  <si>
    <t>Limite physique ADF</t>
  </si>
  <si>
    <t>Ingestion totale ADF par lapin</t>
  </si>
  <si>
    <t>Limite physique MO</t>
  </si>
  <si>
    <t>MO</t>
  </si>
  <si>
    <t>Ingestion totale MO par lapin</t>
  </si>
  <si>
    <t>Taux de MO initial</t>
  </si>
  <si>
    <t>Taux de MAT</t>
  </si>
  <si>
    <t>Taux de MO</t>
  </si>
  <si>
    <t>Variable</t>
  </si>
  <si>
    <t>g ADF/j</t>
  </si>
  <si>
    <t>g MO/j</t>
  </si>
  <si>
    <t>Limite métabolique azotée</t>
  </si>
  <si>
    <t>Croissance théorique du lapin</t>
  </si>
  <si>
    <t>L</t>
  </si>
  <si>
    <t>G</t>
  </si>
  <si>
    <t>Limite MO</t>
  </si>
  <si>
    <t>LMOa</t>
  </si>
  <si>
    <t>LMOb</t>
  </si>
  <si>
    <t>Limite ADF</t>
  </si>
  <si>
    <t>LADFa</t>
  </si>
  <si>
    <t>LADFb</t>
  </si>
  <si>
    <t>LMATa</t>
  </si>
  <si>
    <t>LMATb</t>
  </si>
  <si>
    <t>EUa</t>
  </si>
  <si>
    <t>EUb</t>
  </si>
  <si>
    <t>Ca</t>
  </si>
  <si>
    <t>Cb</t>
  </si>
  <si>
    <t>nb lapin</t>
  </si>
  <si>
    <t>Motalité de la bande</t>
  </si>
  <si>
    <t>Scénario de mortalité</t>
  </si>
  <si>
    <t>nb pics</t>
  </si>
  <si>
    <t>1 ou 2</t>
  </si>
  <si>
    <t>1 pic</t>
  </si>
  <si>
    <t>2 pics</t>
  </si>
  <si>
    <t>Semaine d'élevage</t>
  </si>
  <si>
    <t>Mortalité</t>
  </si>
  <si>
    <t>% mortalité selon le scénario</t>
  </si>
  <si>
    <t>Efficience
d'utilisation</t>
  </si>
  <si>
    <t>Limite MAT</t>
  </si>
  <si>
    <r>
      <t>P</t>
    </r>
    <r>
      <rPr>
        <b/>
        <sz val="11"/>
        <color theme="1"/>
        <rFont val="Calibri"/>
        <family val="2"/>
        <scheme val="minor"/>
      </rPr>
      <t>aramètres des equations d'ingestion et de croissance des lapins</t>
    </r>
  </si>
  <si>
    <r>
      <t>P</t>
    </r>
    <r>
      <rPr>
        <b/>
        <sz val="11"/>
        <color theme="1"/>
        <rFont val="Calibri"/>
        <family val="2"/>
        <scheme val="minor"/>
      </rPr>
      <t>aramètres des equations de mortalité des lapins</t>
    </r>
  </si>
  <si>
    <r>
      <t>P</t>
    </r>
    <r>
      <rPr>
        <b/>
        <sz val="11"/>
        <color theme="1"/>
        <rFont val="Calibri"/>
        <family val="2"/>
        <scheme val="minor"/>
      </rPr>
      <t>aramètres des equations de valeur alimentaire de l'herbe pâturée</t>
    </r>
  </si>
  <si>
    <t>Taux MO</t>
  </si>
  <si>
    <t>Taux ADF</t>
  </si>
  <si>
    <t>Taux MAT</t>
  </si>
  <si>
    <t>TMOa</t>
  </si>
  <si>
    <t>TMOb</t>
  </si>
  <si>
    <t>TADFa</t>
  </si>
  <si>
    <t>TADFb</t>
  </si>
  <si>
    <t>TMATa</t>
  </si>
  <si>
    <t>TMATb</t>
  </si>
  <si>
    <t>Gram ou Lég</t>
  </si>
  <si>
    <t>GMQ</t>
  </si>
  <si>
    <t>Taille de la bande au sevrage</t>
  </si>
  <si>
    <t>Lég</t>
  </si>
  <si>
    <t>Ecart aux besoins théoriques en MAT</t>
  </si>
  <si>
    <t>Ecart aux besoins théoriques en MO</t>
  </si>
  <si>
    <t xml:space="preserve">Croissance  du lapin </t>
  </si>
  <si>
    <t>Ecart croissance</t>
  </si>
  <si>
    <t>ECa</t>
  </si>
  <si>
    <t>ECb</t>
  </si>
  <si>
    <t>par lapin vif</t>
  </si>
  <si>
    <t>par lapin mort + vif</t>
  </si>
  <si>
    <t>Paramètres de l'equation de croissance de l'herbe durant le pâturage</t>
  </si>
  <si>
    <t>Mois</t>
  </si>
  <si>
    <t>janvier</t>
  </si>
  <si>
    <t>février</t>
  </si>
  <si>
    <t>mars</t>
  </si>
  <si>
    <t>Taux NDF</t>
  </si>
  <si>
    <t>TNDFa</t>
  </si>
  <si>
    <t>avril</t>
  </si>
  <si>
    <t>TNDFb</t>
  </si>
  <si>
    <t>mai</t>
  </si>
  <si>
    <t>juin</t>
  </si>
  <si>
    <t>juillet</t>
  </si>
  <si>
    <t>août</t>
  </si>
  <si>
    <t>septembre</t>
  </si>
  <si>
    <t>octobre</t>
  </si>
  <si>
    <t>novembre</t>
  </si>
  <si>
    <t>décembre</t>
  </si>
  <si>
    <t>Croissance  du lapin</t>
  </si>
  <si>
    <t>Simulateur de l'ingestion et de la croissance de lapins en croissance au pâturage en cages mobiles</t>
  </si>
  <si>
    <t>Simulateur de l'ingestion et de la croissance de lapins en croissance au pâturage en parcs</t>
  </si>
  <si>
    <t>Avertissement  préalable à l'utilisation de ce simulateur</t>
  </si>
  <si>
    <t>PATULAP: un simulateur d'ingestion et de croissance de lapins à l'engraissement au pâturage</t>
  </si>
  <si>
    <t xml:space="preserve">Contacts: </t>
  </si>
  <si>
    <t>guillaume.martin@inra.fr</t>
  </si>
  <si>
    <t>thierry.gidenne@inra.fr</t>
  </si>
  <si>
    <t>Crédits photo: Thierry Gidenne</t>
  </si>
  <si>
    <t>Guillaume Martin, Louise Joly, Jean-Pierre Goby, Audrey Duprat, Héloïse Legendre, Thierry Gidenne</t>
  </si>
  <si>
    <t>Pousse de l'herbe (kgMS/ha/j)</t>
  </si>
  <si>
    <t>PATULAP n'est pas destiné à être utilisé pour prédire les performances de pratiques d'engraissement des lapins au pâturage. C'est avant tout un outil pour alimenter des réflexions d'éleveurs. Aussi,  les concepteurs de PATULAP ne sauraient être tenus pour responsables des résultats obtenus dans le cadre de son utilisation.</t>
  </si>
  <si>
    <t>Exemples de données sur les prairies utilisables pour faire fonctionner PATULAP</t>
  </si>
  <si>
    <t>Début printemps</t>
  </si>
  <si>
    <t>Plein printemps</t>
  </si>
  <si>
    <t>Été</t>
  </si>
  <si>
    <t>Automne</t>
  </si>
  <si>
    <t>Gram</t>
  </si>
  <si>
    <t>&gt;01/02</t>
  </si>
  <si>
    <t>&gt;15/04</t>
  </si>
  <si>
    <t>&gt;01/07</t>
  </si>
  <si>
    <t>&gt;15/09</t>
  </si>
  <si>
    <t>Ces données sont fournies à titre strictement illustratif. Elle correspondent au Climat de St Brieuc pour l'année 2008.
Dans l'idéal, elles sont à adapter à chaque situation d'élevage (climat, sol, types de graminées et de légumineuses, etc.) en lien avec les conseillers herbe-fourrages locaux.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</si>
</sst>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6" x14ac:knownFonts="1">
    <font>
      <sz val="11"/>
      <color theme="1"/>
      <name val="Calibri"/>
      <family val="2"/>
      <scheme val="minor"/>
    </font>
    <font>
      <b/>
      <sz val="11"/>
      <color theme="1"/>
      <name val="Calibri"/>
      <family val="2"/>
      <scheme val="minor"/>
    </font>
    <font>
      <sz val="11"/>
      <color theme="0" tint="-0.249977111117893"/>
      <name val="Calibri"/>
      <family val="2"/>
      <scheme val="minor"/>
    </font>
    <font>
      <sz val="11"/>
      <name val="Calibri"/>
      <family val="2"/>
      <scheme val="minor"/>
    </font>
    <font>
      <sz val="11"/>
      <color theme="1"/>
      <name val="Calibri"/>
      <family val="2"/>
      <scheme val="minor"/>
    </font>
    <font>
      <b/>
      <sz val="12"/>
      <color theme="1"/>
      <name val="Calibri"/>
      <family val="2"/>
      <scheme val="minor"/>
    </font>
    <font>
      <b/>
      <sz val="18"/>
      <color theme="1"/>
      <name val="Calibri"/>
      <family val="2"/>
      <scheme val="minor"/>
    </font>
    <font>
      <sz val="11"/>
      <color rgb="FFFF0000"/>
      <name val="Calibri"/>
      <family val="2"/>
      <scheme val="minor"/>
    </font>
    <font>
      <u/>
      <sz val="11"/>
      <color theme="1"/>
      <name val="Calibri"/>
      <family val="2"/>
      <scheme val="minor"/>
    </font>
    <font>
      <i/>
      <sz val="11"/>
      <color theme="1"/>
      <name val="Calibri"/>
      <family val="2"/>
      <scheme val="minor"/>
    </font>
    <font>
      <b/>
      <sz val="14"/>
      <color theme="1"/>
      <name val="Calibri"/>
      <family val="2"/>
      <scheme val="minor"/>
    </font>
    <font>
      <sz val="12"/>
      <color theme="1"/>
      <name val="Calibri"/>
      <family val="2"/>
      <scheme val="minor"/>
    </font>
    <font>
      <b/>
      <sz val="24"/>
      <color rgb="FF00B050"/>
      <name val="Calibri"/>
      <family val="2"/>
      <scheme val="minor"/>
    </font>
    <font>
      <u/>
      <sz val="11"/>
      <color theme="10"/>
      <name val="Calibri"/>
      <family val="2"/>
      <scheme val="minor"/>
    </font>
    <font>
      <u/>
      <sz val="12"/>
      <color theme="10"/>
      <name val="Calibri"/>
      <family val="2"/>
      <scheme val="minor"/>
    </font>
    <font>
      <sz val="11"/>
      <color indexed="8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s>
  <cellStyleXfs count="3">
    <xf numFmtId="0" fontId="0" fillId="0" borderId="0"/>
    <xf numFmtId="9" fontId="4" fillId="0" borderId="0" applyFont="0" applyFill="0" applyBorder="0" applyAlignment="0" applyProtection="0"/>
    <xf numFmtId="0" fontId="13" fillId="0" borderId="0" applyNumberFormat="0" applyFill="0" applyBorder="0" applyAlignment="0" applyProtection="0"/>
  </cellStyleXfs>
  <cellXfs count="347">
    <xf numFmtId="0" fontId="0" fillId="0" borderId="0" xfId="0"/>
    <xf numFmtId="0" fontId="6" fillId="5" borderId="0" xfId="0" applyFont="1" applyFill="1" applyProtection="1">
      <protection locked="0"/>
    </xf>
    <xf numFmtId="0" fontId="0" fillId="5" borderId="0" xfId="0" applyFill="1" applyProtection="1">
      <protection locked="0"/>
    </xf>
    <xf numFmtId="0" fontId="5" fillId="5" borderId="0" xfId="0" applyFont="1" applyFill="1" applyProtection="1">
      <protection locked="0"/>
    </xf>
    <xf numFmtId="0" fontId="0" fillId="0" borderId="1" xfId="0" applyFill="1" applyBorder="1" applyProtection="1">
      <protection locked="0"/>
    </xf>
    <xf numFmtId="0" fontId="2" fillId="3" borderId="1" xfId="0" applyFont="1" applyFill="1" applyBorder="1" applyProtection="1">
      <protection locked="0"/>
    </xf>
    <xf numFmtId="0" fontId="10" fillId="5" borderId="0" xfId="0" applyFont="1" applyFill="1" applyBorder="1" applyAlignment="1" applyProtection="1">
      <alignment wrapText="1"/>
      <protection locked="0"/>
    </xf>
    <xf numFmtId="0" fontId="0" fillId="2" borderId="5" xfId="0" applyFill="1" applyBorder="1" applyAlignment="1" applyProtection="1">
      <alignment horizontal="center" vertical="center"/>
      <protection locked="0"/>
    </xf>
    <xf numFmtId="0" fontId="0" fillId="2" borderId="1" xfId="0" applyFill="1" applyBorder="1" applyAlignment="1" applyProtection="1">
      <alignment vertical="center"/>
      <protection locked="0"/>
    </xf>
    <xf numFmtId="0" fontId="0" fillId="2" borderId="1" xfId="0" applyFill="1" applyBorder="1" applyAlignment="1" applyProtection="1">
      <alignment horizontal="center" vertical="center"/>
      <protection locked="0"/>
    </xf>
    <xf numFmtId="0" fontId="0" fillId="3" borderId="5" xfId="0" applyFill="1" applyBorder="1" applyProtection="1">
      <protection locked="0"/>
    </xf>
    <xf numFmtId="0" fontId="0" fillId="3" borderId="6" xfId="0" applyFill="1" applyBorder="1" applyProtection="1">
      <protection locked="0"/>
    </xf>
    <xf numFmtId="0" fontId="1" fillId="3" borderId="6" xfId="0" applyFont="1" applyFill="1" applyBorder="1" applyAlignment="1" applyProtection="1">
      <alignment horizontal="center"/>
      <protection locked="0"/>
    </xf>
    <xf numFmtId="0" fontId="1" fillId="3" borderId="7" xfId="0" applyFont="1" applyFill="1" applyBorder="1" applyAlignment="1" applyProtection="1">
      <alignment horizontal="center"/>
      <protection locked="0"/>
    </xf>
    <xf numFmtId="0" fontId="1" fillId="5" borderId="0" xfId="0" applyFont="1" applyFill="1" applyProtection="1">
      <protection locked="0"/>
    </xf>
    <xf numFmtId="1" fontId="3" fillId="0" borderId="1" xfId="0" applyNumberFormat="1" applyFont="1" applyFill="1" applyBorder="1" applyAlignment="1" applyProtection="1">
      <alignment horizontal="center" vertical="center"/>
      <protection locked="0"/>
    </xf>
    <xf numFmtId="0" fontId="9" fillId="3" borderId="13" xfId="0" applyFont="1" applyFill="1" applyBorder="1" applyProtection="1">
      <protection locked="0"/>
    </xf>
    <xf numFmtId="0" fontId="1" fillId="3" borderId="1" xfId="0" applyFont="1" applyFill="1" applyBorder="1" applyAlignment="1" applyProtection="1">
      <alignment horizontal="center"/>
      <protection locked="0"/>
    </xf>
    <xf numFmtId="14" fontId="3" fillId="0" borderId="1" xfId="0" applyNumberFormat="1" applyFont="1" applyFill="1" applyBorder="1" applyAlignment="1" applyProtection="1">
      <alignment horizontal="center" vertical="center"/>
      <protection locked="0"/>
    </xf>
    <xf numFmtId="0" fontId="9" fillId="3" borderId="9" xfId="0" applyFont="1" applyFill="1" applyBorder="1" applyProtection="1">
      <protection locked="0"/>
    </xf>
    <xf numFmtId="164" fontId="3" fillId="0" borderId="1" xfId="0" applyNumberFormat="1" applyFont="1" applyFill="1" applyBorder="1" applyAlignment="1" applyProtection="1">
      <alignment horizontal="center" vertical="center"/>
      <protection locked="0"/>
    </xf>
    <xf numFmtId="0" fontId="0" fillId="5" borderId="0" xfId="0" applyFill="1" applyAlignment="1" applyProtection="1">
      <alignment wrapText="1"/>
      <protection locked="0"/>
    </xf>
    <xf numFmtId="0" fontId="0" fillId="5" borderId="0" xfId="0" applyFill="1" applyAlignment="1" applyProtection="1">
      <alignment horizontal="left" wrapText="1"/>
      <protection locked="0"/>
    </xf>
    <xf numFmtId="0" fontId="9" fillId="3" borderId="10" xfId="0" applyFont="1" applyFill="1" applyBorder="1" applyProtection="1">
      <protection locked="0"/>
    </xf>
    <xf numFmtId="164" fontId="0" fillId="4" borderId="1" xfId="0" applyNumberFormat="1" applyFill="1" applyBorder="1" applyAlignment="1" applyProtection="1">
      <alignment horizontal="center" vertical="center"/>
      <protection locked="0"/>
    </xf>
    <xf numFmtId="9" fontId="0" fillId="4" borderId="1" xfId="1" applyFont="1" applyFill="1" applyBorder="1" applyAlignment="1" applyProtection="1">
      <alignment horizontal="center" vertical="center"/>
      <protection locked="0"/>
    </xf>
    <xf numFmtId="0" fontId="0" fillId="2" borderId="5"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9" fillId="3" borderId="13" xfId="0" applyFont="1" applyFill="1" applyBorder="1" applyAlignment="1" applyProtection="1">
      <alignment horizontal="left"/>
      <protection locked="0"/>
    </xf>
    <xf numFmtId="0" fontId="7" fillId="5" borderId="0" xfId="0" applyFont="1" applyFill="1" applyProtection="1">
      <protection locked="0"/>
    </xf>
    <xf numFmtId="0" fontId="9" fillId="3" borderId="10" xfId="0" applyFont="1" applyFill="1" applyBorder="1" applyAlignment="1" applyProtection="1">
      <alignment horizontal="left"/>
      <protection locked="0"/>
    </xf>
    <xf numFmtId="0" fontId="0" fillId="7" borderId="8" xfId="0" applyFill="1" applyBorder="1" applyProtection="1">
      <protection locked="0"/>
    </xf>
    <xf numFmtId="0" fontId="0" fillId="7" borderId="10" xfId="0" applyFill="1" applyBorder="1" applyAlignment="1" applyProtection="1">
      <alignment horizontal="center"/>
      <protection locked="0"/>
    </xf>
    <xf numFmtId="0" fontId="0" fillId="5" borderId="0" xfId="0" applyFill="1" applyBorder="1" applyProtection="1">
      <protection locked="0"/>
    </xf>
    <xf numFmtId="0" fontId="9" fillId="5" borderId="0" xfId="0" applyFont="1" applyFill="1" applyBorder="1" applyAlignment="1" applyProtection="1">
      <alignment horizontal="left"/>
      <protection locked="0"/>
    </xf>
    <xf numFmtId="0" fontId="0" fillId="5" borderId="0" xfId="0" applyFill="1" applyAlignment="1" applyProtection="1">
      <alignment horizontal="center"/>
      <protection locked="0"/>
    </xf>
    <xf numFmtId="1" fontId="0" fillId="4" borderId="1" xfId="0" applyNumberFormat="1" applyFill="1" applyBorder="1" applyAlignment="1" applyProtection="1">
      <alignment horizontal="center" vertical="center"/>
      <protection locked="0"/>
    </xf>
    <xf numFmtId="0" fontId="8" fillId="5" borderId="0" xfId="0" applyFont="1" applyFill="1" applyBorder="1" applyProtection="1">
      <protection locked="0"/>
    </xf>
    <xf numFmtId="0" fontId="0" fillId="5" borderId="0" xfId="0" applyFill="1" applyAlignment="1" applyProtection="1">
      <alignment horizontal="left"/>
      <protection locked="0"/>
    </xf>
    <xf numFmtId="0" fontId="0" fillId="4" borderId="1" xfId="1" applyNumberFormat="1" applyFont="1" applyFill="1" applyBorder="1" applyAlignment="1" applyProtection="1">
      <alignment horizontal="center" vertical="center"/>
      <protection locked="0"/>
    </xf>
    <xf numFmtId="0" fontId="0" fillId="6" borderId="1" xfId="0" applyFill="1" applyBorder="1" applyAlignment="1" applyProtection="1">
      <alignment horizontal="center"/>
      <protection locked="0"/>
    </xf>
    <xf numFmtId="0" fontId="0" fillId="6" borderId="5" xfId="0"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0" fontId="0" fillId="6" borderId="7" xfId="0" applyFill="1" applyBorder="1" applyAlignment="1" applyProtection="1">
      <alignment vertical="center" wrapText="1"/>
      <protection locked="0"/>
    </xf>
    <xf numFmtId="0" fontId="0" fillId="6" borderId="1" xfId="0" applyFill="1" applyBorder="1" applyAlignment="1" applyProtection="1">
      <alignment horizontal="center" vertical="center"/>
      <protection locked="0"/>
    </xf>
    <xf numFmtId="0" fontId="0" fillId="6" borderId="2" xfId="0" applyFill="1" applyBorder="1" applyAlignment="1" applyProtection="1">
      <alignment horizontal="center" vertical="center" wrapText="1"/>
      <protection locked="0"/>
    </xf>
    <xf numFmtId="0" fontId="0" fillId="6" borderId="1"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protection locked="0"/>
    </xf>
    <xf numFmtId="164" fontId="0" fillId="6" borderId="2" xfId="0" applyNumberFormat="1" applyFill="1" applyBorder="1" applyAlignment="1" applyProtection="1">
      <alignment horizontal="center" vertical="center"/>
      <protection locked="0"/>
    </xf>
    <xf numFmtId="164" fontId="0" fillId="6" borderId="1" xfId="0" applyNumberFormat="1" applyFill="1" applyBorder="1" applyAlignment="1" applyProtection="1">
      <alignment horizontal="center" vertical="center"/>
      <protection locked="0"/>
    </xf>
    <xf numFmtId="164" fontId="0" fillId="6" borderId="7" xfId="0" applyNumberFormat="1" applyFill="1" applyBorder="1" applyAlignment="1" applyProtection="1">
      <alignment horizontal="center" vertical="center"/>
      <protection locked="0"/>
    </xf>
    <xf numFmtId="164" fontId="0" fillId="6" borderId="8" xfId="0" applyNumberFormat="1" applyFill="1" applyBorder="1" applyAlignment="1" applyProtection="1">
      <alignment horizontal="center" vertical="center"/>
      <protection locked="0"/>
    </xf>
    <xf numFmtId="2" fontId="0" fillId="0" borderId="8" xfId="0" applyNumberFormat="1" applyFont="1" applyFill="1" applyBorder="1" applyAlignment="1" applyProtection="1">
      <alignment horizontal="center" vertical="center"/>
      <protection locked="0"/>
    </xf>
    <xf numFmtId="164" fontId="0" fillId="5" borderId="0" xfId="0" applyNumberFormat="1" applyFill="1" applyProtection="1">
      <protection locked="0"/>
    </xf>
    <xf numFmtId="0" fontId="0" fillId="6" borderId="3" xfId="0" applyFill="1" applyBorder="1" applyAlignment="1" applyProtection="1">
      <alignment horizontal="center" vertical="center"/>
      <protection locked="0"/>
    </xf>
    <xf numFmtId="2" fontId="0" fillId="0" borderId="14" xfId="0" applyNumberFormat="1" applyFont="1" applyFill="1" applyBorder="1" applyAlignment="1" applyProtection="1">
      <alignment horizontal="center" vertical="center"/>
      <protection locked="0"/>
    </xf>
    <xf numFmtId="0" fontId="0" fillId="6" borderId="4" xfId="0" applyFill="1" applyBorder="1" applyAlignment="1" applyProtection="1">
      <alignment horizontal="center" vertical="center"/>
      <protection locked="0"/>
    </xf>
    <xf numFmtId="2" fontId="0" fillId="0" borderId="4" xfId="0" applyNumberFormat="1" applyFont="1" applyFill="1" applyBorder="1" applyAlignment="1" applyProtection="1">
      <alignment horizontal="center" vertical="center"/>
      <protection locked="0"/>
    </xf>
    <xf numFmtId="0" fontId="0" fillId="3" borderId="2" xfId="0" applyFill="1" applyBorder="1" applyAlignment="1" applyProtection="1">
      <alignment horizontal="center" vertical="center"/>
    </xf>
    <xf numFmtId="14" fontId="0" fillId="3" borderId="2" xfId="0" applyNumberFormat="1" applyFill="1" applyBorder="1" applyAlignment="1" applyProtection="1">
      <alignment horizontal="center" vertical="center"/>
    </xf>
    <xf numFmtId="1" fontId="0" fillId="3" borderId="14" xfId="0" applyNumberFormat="1" applyFill="1" applyBorder="1" applyAlignment="1" applyProtection="1">
      <alignment horizontal="center" vertical="center"/>
    </xf>
    <xf numFmtId="0" fontId="0" fillId="3" borderId="14" xfId="0" applyNumberFormat="1" applyFill="1" applyBorder="1" applyAlignment="1" applyProtection="1">
      <alignment horizontal="center" vertical="center"/>
    </xf>
    <xf numFmtId="1" fontId="3" fillId="3" borderId="8" xfId="0" applyNumberFormat="1" applyFont="1" applyFill="1" applyBorder="1" applyAlignment="1" applyProtection="1">
      <alignment horizontal="center" vertical="center"/>
    </xf>
    <xf numFmtId="2" fontId="0" fillId="3" borderId="2" xfId="0" applyNumberFormat="1" applyFill="1" applyBorder="1" applyAlignment="1" applyProtection="1">
      <alignment horizontal="center" vertical="center"/>
    </xf>
    <xf numFmtId="2" fontId="0" fillId="3" borderId="8" xfId="0" applyNumberFormat="1" applyFill="1" applyBorder="1" applyAlignment="1" applyProtection="1">
      <alignment horizontal="center" vertical="center"/>
    </xf>
    <xf numFmtId="0" fontId="0" fillId="3" borderId="3" xfId="0" applyFill="1" applyBorder="1" applyAlignment="1" applyProtection="1">
      <alignment horizontal="center" vertical="center"/>
    </xf>
    <xf numFmtId="14" fontId="0" fillId="3" borderId="3" xfId="0" applyNumberFormat="1" applyFill="1" applyBorder="1" applyAlignment="1" applyProtection="1">
      <alignment horizontal="center" vertical="center"/>
    </xf>
    <xf numFmtId="1" fontId="3" fillId="3" borderId="14" xfId="0" applyNumberFormat="1" applyFont="1" applyFill="1" applyBorder="1" applyAlignment="1" applyProtection="1">
      <alignment horizontal="center" vertical="center"/>
    </xf>
    <xf numFmtId="2" fontId="0" fillId="3" borderId="3" xfId="0" applyNumberFormat="1" applyFill="1" applyBorder="1" applyAlignment="1" applyProtection="1">
      <alignment horizontal="center" vertical="center"/>
    </xf>
    <xf numFmtId="2" fontId="0" fillId="3" borderId="14" xfId="0" applyNumberFormat="1" applyFill="1" applyBorder="1" applyAlignment="1" applyProtection="1">
      <alignment horizontal="center" vertical="center"/>
    </xf>
    <xf numFmtId="164" fontId="0" fillId="3" borderId="3" xfId="0" applyNumberFormat="1" applyFill="1" applyBorder="1" applyAlignment="1" applyProtection="1">
      <alignment horizontal="center" vertical="center"/>
    </xf>
    <xf numFmtId="164" fontId="0" fillId="3" borderId="14" xfId="0" applyNumberFormat="1" applyFill="1" applyBorder="1" applyAlignment="1" applyProtection="1">
      <alignment horizontal="center" vertical="center"/>
    </xf>
    <xf numFmtId="0" fontId="0" fillId="3" borderId="4" xfId="0" applyFill="1" applyBorder="1" applyAlignment="1" applyProtection="1">
      <alignment horizontal="center" vertical="center"/>
    </xf>
    <xf numFmtId="14" fontId="0" fillId="3" borderId="4" xfId="0" applyNumberFormat="1" applyFill="1" applyBorder="1" applyAlignment="1" applyProtection="1">
      <alignment horizontal="center" vertical="center"/>
    </xf>
    <xf numFmtId="1" fontId="0" fillId="3" borderId="4" xfId="0" applyNumberFormat="1" applyFill="1" applyBorder="1" applyAlignment="1" applyProtection="1">
      <alignment horizontal="center" vertical="center"/>
    </xf>
    <xf numFmtId="1" fontId="3" fillId="3" borderId="4" xfId="0" applyNumberFormat="1" applyFont="1" applyFill="1" applyBorder="1" applyAlignment="1" applyProtection="1">
      <alignment horizontal="center" vertical="center"/>
    </xf>
    <xf numFmtId="164" fontId="0" fillId="3" borderId="4" xfId="0" applyNumberFormat="1" applyFill="1" applyBorder="1" applyAlignment="1" applyProtection="1">
      <alignment horizontal="center" vertical="center"/>
    </xf>
    <xf numFmtId="1" fontId="0" fillId="3" borderId="2" xfId="0" applyNumberFormat="1" applyFill="1" applyBorder="1" applyAlignment="1" applyProtection="1">
      <alignment horizontal="center" vertical="center"/>
    </xf>
    <xf numFmtId="1" fontId="0" fillId="3" borderId="3" xfId="0" applyNumberFormat="1" applyFill="1" applyBorder="1" applyAlignment="1" applyProtection="1">
      <alignment horizontal="center" vertical="center"/>
    </xf>
    <xf numFmtId="9" fontId="0" fillId="3" borderId="2" xfId="1" applyNumberFormat="1" applyFont="1" applyFill="1" applyBorder="1" applyAlignment="1" applyProtection="1">
      <alignment horizontal="center" vertical="center"/>
    </xf>
    <xf numFmtId="9" fontId="0" fillId="3" borderId="2" xfId="1" applyFont="1" applyFill="1" applyBorder="1" applyAlignment="1" applyProtection="1">
      <alignment horizontal="center" vertical="center"/>
    </xf>
    <xf numFmtId="164" fontId="0" fillId="3" borderId="2" xfId="0" applyNumberFormat="1" applyFill="1" applyBorder="1" applyAlignment="1" applyProtection="1">
      <alignment horizontal="center" vertical="center"/>
    </xf>
    <xf numFmtId="164" fontId="0" fillId="3" borderId="13" xfId="0" applyNumberFormat="1" applyFill="1" applyBorder="1" applyAlignment="1" applyProtection="1">
      <alignment horizontal="center" vertical="center"/>
    </xf>
    <xf numFmtId="9" fontId="0" fillId="3" borderId="3" xfId="1" applyNumberFormat="1" applyFont="1" applyFill="1" applyBorder="1" applyAlignment="1" applyProtection="1">
      <alignment horizontal="center" vertical="center"/>
    </xf>
    <xf numFmtId="9" fontId="0" fillId="3" borderId="14" xfId="1" applyFont="1" applyFill="1" applyBorder="1" applyAlignment="1" applyProtection="1">
      <alignment horizontal="center" vertical="center"/>
    </xf>
    <xf numFmtId="9" fontId="0" fillId="3" borderId="3" xfId="1" applyFont="1" applyFill="1" applyBorder="1" applyAlignment="1" applyProtection="1">
      <alignment horizontal="center" vertical="center"/>
    </xf>
    <xf numFmtId="164" fontId="0" fillId="3" borderId="9" xfId="0" applyNumberFormat="1" applyFill="1" applyBorder="1" applyAlignment="1" applyProtection="1">
      <alignment horizontal="center" vertical="center"/>
    </xf>
    <xf numFmtId="9" fontId="0" fillId="3" borderId="4" xfId="1" applyNumberFormat="1" applyFont="1" applyFill="1" applyBorder="1" applyAlignment="1" applyProtection="1">
      <alignment horizontal="center" vertical="center"/>
    </xf>
    <xf numFmtId="9" fontId="0" fillId="3" borderId="4" xfId="1" applyFont="1" applyFill="1" applyBorder="1" applyAlignment="1" applyProtection="1">
      <alignment horizontal="center" vertical="center"/>
    </xf>
    <xf numFmtId="0" fontId="0" fillId="7" borderId="12" xfId="0" applyFill="1" applyBorder="1" applyProtection="1"/>
    <xf numFmtId="0" fontId="0" fillId="7" borderId="12" xfId="0" applyFill="1" applyBorder="1" applyAlignment="1" applyProtection="1">
      <alignment horizontal="center"/>
    </xf>
    <xf numFmtId="0" fontId="0" fillId="7" borderId="10" xfId="0" applyFill="1" applyBorder="1" applyAlignment="1" applyProtection="1">
      <alignment horizontal="center"/>
    </xf>
    <xf numFmtId="0" fontId="0" fillId="7" borderId="15" xfId="0" applyFill="1" applyBorder="1" applyAlignment="1" applyProtection="1">
      <alignment horizontal="center"/>
    </xf>
    <xf numFmtId="0" fontId="0" fillId="7" borderId="14" xfId="0" applyFill="1" applyBorder="1" applyProtection="1"/>
    <xf numFmtId="2" fontId="1" fillId="3" borderId="14" xfId="0" applyNumberFormat="1" applyFont="1" applyFill="1" applyBorder="1" applyProtection="1"/>
    <xf numFmtId="2" fontId="0" fillId="3" borderId="9" xfId="0" applyNumberFormat="1" applyFill="1" applyBorder="1" applyProtection="1"/>
    <xf numFmtId="2" fontId="0" fillId="3" borderId="0" xfId="0" applyNumberFormat="1" applyFill="1" applyBorder="1" applyProtection="1"/>
    <xf numFmtId="2" fontId="1" fillId="3" borderId="12" xfId="0" applyNumberFormat="1" applyFont="1" applyFill="1" applyBorder="1" applyProtection="1"/>
    <xf numFmtId="2" fontId="0" fillId="3" borderId="10" xfId="0" applyNumberFormat="1" applyFill="1" applyBorder="1" applyProtection="1"/>
    <xf numFmtId="2" fontId="0" fillId="3" borderId="15" xfId="0" applyNumberFormat="1" applyFill="1" applyBorder="1" applyProtection="1"/>
    <xf numFmtId="0" fontId="0" fillId="5" borderId="0" xfId="0" applyFill="1" applyProtection="1"/>
    <xf numFmtId="0" fontId="0" fillId="7" borderId="10" xfId="0" applyFill="1" applyBorder="1" applyProtection="1"/>
    <xf numFmtId="0" fontId="0" fillId="3" borderId="5" xfId="0" applyFill="1" applyBorder="1" applyProtection="1"/>
    <xf numFmtId="164" fontId="0" fillId="3" borderId="6" xfId="0" applyNumberFormat="1" applyFill="1" applyBorder="1" applyProtection="1"/>
    <xf numFmtId="0" fontId="0" fillId="3" borderId="7" xfId="0" applyFill="1" applyBorder="1" applyProtection="1"/>
    <xf numFmtId="0" fontId="0" fillId="7" borderId="15" xfId="0" applyFill="1" applyBorder="1" applyAlignment="1" applyProtection="1">
      <alignment horizontal="left"/>
    </xf>
    <xf numFmtId="164" fontId="1" fillId="3" borderId="5" xfId="0" applyNumberFormat="1" applyFont="1" applyFill="1" applyBorder="1" applyProtection="1"/>
    <xf numFmtId="164" fontId="1" fillId="3" borderId="6" xfId="0" applyNumberFormat="1" applyFont="1" applyFill="1" applyBorder="1" applyProtection="1"/>
    <xf numFmtId="164" fontId="1" fillId="3" borderId="7" xfId="0" applyNumberFormat="1" applyFont="1" applyFill="1" applyBorder="1" applyProtection="1"/>
    <xf numFmtId="0" fontId="0" fillId="3" borderId="6" xfId="0" applyFill="1" applyBorder="1" applyProtection="1"/>
    <xf numFmtId="0" fontId="1" fillId="3" borderId="6" xfId="0" applyFont="1" applyFill="1" applyBorder="1" applyAlignment="1" applyProtection="1">
      <alignment horizontal="center"/>
    </xf>
    <xf numFmtId="0" fontId="1" fillId="3" borderId="7" xfId="0" applyFont="1" applyFill="1" applyBorder="1" applyAlignment="1" applyProtection="1">
      <alignment horizontal="center"/>
    </xf>
    <xf numFmtId="0" fontId="9" fillId="3" borderId="13" xfId="0" applyFont="1" applyFill="1" applyBorder="1" applyProtection="1"/>
    <xf numFmtId="0" fontId="0" fillId="3" borderId="13" xfId="0" applyFill="1" applyBorder="1" applyAlignment="1" applyProtection="1">
      <alignment horizontal="center"/>
    </xf>
    <xf numFmtId="0" fontId="9" fillId="3" borderId="4" xfId="0" applyFont="1" applyFill="1" applyBorder="1" applyProtection="1"/>
    <xf numFmtId="0" fontId="0" fillId="3" borderId="10" xfId="0" applyFill="1" applyBorder="1" applyAlignment="1" applyProtection="1">
      <alignment horizontal="center"/>
    </xf>
    <xf numFmtId="0" fontId="9" fillId="3" borderId="10" xfId="0" applyFont="1" applyFill="1" applyBorder="1" applyProtection="1"/>
    <xf numFmtId="0" fontId="8" fillId="3" borderId="3" xfId="0" applyFont="1" applyFill="1" applyBorder="1" applyAlignment="1" applyProtection="1">
      <alignment horizontal="center" vertical="top" wrapText="1"/>
    </xf>
    <xf numFmtId="0" fontId="9" fillId="3" borderId="9" xfId="0" applyFont="1" applyFill="1" applyBorder="1" applyProtection="1"/>
    <xf numFmtId="0" fontId="0" fillId="3" borderId="9" xfId="0" applyFill="1" applyBorder="1" applyAlignment="1" applyProtection="1">
      <alignment horizontal="center"/>
    </xf>
    <xf numFmtId="0" fontId="8" fillId="3" borderId="4" xfId="0" applyFont="1" applyFill="1" applyBorder="1" applyAlignment="1" applyProtection="1">
      <alignment horizontal="center" vertical="top" wrapText="1"/>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6" fillId="5" borderId="0" xfId="0" applyFont="1" applyFill="1"/>
    <xf numFmtId="0" fontId="0" fillId="5" borderId="0" xfId="0" applyFill="1"/>
    <xf numFmtId="0" fontId="5" fillId="5" borderId="0" xfId="0" applyFont="1" applyFill="1"/>
    <xf numFmtId="0" fontId="0" fillId="0" borderId="1" xfId="0" applyFill="1" applyBorder="1"/>
    <xf numFmtId="0" fontId="2" fillId="3" borderId="1" xfId="0" applyFont="1" applyFill="1" applyBorder="1"/>
    <xf numFmtId="0" fontId="10" fillId="5" borderId="0" xfId="0" applyFont="1" applyFill="1" applyBorder="1" applyAlignment="1">
      <alignment wrapText="1"/>
    </xf>
    <xf numFmtId="0" fontId="0" fillId="3" borderId="3" xfId="0" applyFill="1" applyBorder="1" applyAlignment="1">
      <alignment horizontal="center"/>
    </xf>
    <xf numFmtId="0" fontId="0" fillId="3" borderId="14" xfId="0" applyFill="1" applyBorder="1" applyAlignment="1">
      <alignment horizontal="right"/>
    </xf>
    <xf numFmtId="0" fontId="0" fillId="2" borderId="5"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0" fillId="3" borderId="5" xfId="0" applyFill="1" applyBorder="1"/>
    <xf numFmtId="0" fontId="0" fillId="3" borderId="6" xfId="0" applyFill="1" applyBorder="1"/>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5" borderId="0" xfId="0" applyFont="1" applyFill="1"/>
    <xf numFmtId="0" fontId="9" fillId="3" borderId="13" xfId="0" applyFont="1" applyFill="1" applyBorder="1"/>
    <xf numFmtId="0" fontId="0" fillId="3" borderId="13" xfId="0" applyFill="1" applyBorder="1" applyAlignment="1">
      <alignment horizontal="center"/>
    </xf>
    <xf numFmtId="0" fontId="1" fillId="3" borderId="1" xfId="0" applyFont="1" applyFill="1" applyBorder="1" applyAlignment="1">
      <alignment horizontal="center"/>
    </xf>
    <xf numFmtId="0" fontId="9" fillId="3" borderId="9" xfId="0" applyFont="1" applyFill="1" applyBorder="1"/>
    <xf numFmtId="0" fontId="0" fillId="3" borderId="9" xfId="0" applyFill="1" applyBorder="1" applyAlignment="1">
      <alignment horizontal="center"/>
    </xf>
    <xf numFmtId="0" fontId="0" fillId="3" borderId="4" xfId="0" applyFill="1" applyBorder="1" applyAlignment="1">
      <alignment horizontal="center"/>
    </xf>
    <xf numFmtId="0" fontId="0" fillId="5" borderId="0" xfId="0" applyFill="1" applyAlignment="1">
      <alignment wrapText="1"/>
    </xf>
    <xf numFmtId="0" fontId="0" fillId="3" borderId="10" xfId="0" applyFill="1" applyBorder="1" applyAlignment="1">
      <alignment horizont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9" fillId="3" borderId="10" xfId="0" applyFont="1" applyFill="1" applyBorder="1"/>
    <xf numFmtId="0" fontId="9" fillId="3" borderId="13" xfId="0" applyFont="1" applyFill="1" applyBorder="1" applyAlignment="1">
      <alignment horizontal="left"/>
    </xf>
    <xf numFmtId="0" fontId="9" fillId="3" borderId="10" xfId="0" applyFont="1" applyFill="1" applyBorder="1" applyAlignment="1">
      <alignment horizontal="left"/>
    </xf>
    <xf numFmtId="0" fontId="0" fillId="7" borderId="8" xfId="0" applyFill="1" applyBorder="1"/>
    <xf numFmtId="0" fontId="0" fillId="7" borderId="12" xfId="0" applyFill="1" applyBorder="1"/>
    <xf numFmtId="0" fontId="0" fillId="7" borderId="12" xfId="0" applyFill="1" applyBorder="1" applyAlignment="1">
      <alignment horizontal="center"/>
    </xf>
    <xf numFmtId="0" fontId="0" fillId="7" borderId="10" xfId="0" applyFill="1" applyBorder="1" applyAlignment="1">
      <alignment horizontal="center"/>
    </xf>
    <xf numFmtId="0" fontId="0" fillId="7" borderId="15" xfId="0" applyFill="1" applyBorder="1" applyAlignment="1">
      <alignment horizontal="center"/>
    </xf>
    <xf numFmtId="0" fontId="0" fillId="7" borderId="14" xfId="0" applyFill="1" applyBorder="1"/>
    <xf numFmtId="2" fontId="1" fillId="3" borderId="14" xfId="0" applyNumberFormat="1" applyFont="1" applyFill="1" applyBorder="1"/>
    <xf numFmtId="2" fontId="0" fillId="3" borderId="9" xfId="0" applyNumberFormat="1" applyFill="1" applyBorder="1"/>
    <xf numFmtId="2" fontId="0" fillId="3" borderId="0" xfId="0" applyNumberFormat="1" applyFill="1" applyBorder="1"/>
    <xf numFmtId="0" fontId="0" fillId="5" borderId="0" xfId="0" applyFill="1" applyBorder="1"/>
    <xf numFmtId="0" fontId="9" fillId="5" borderId="0" xfId="0" applyFont="1" applyFill="1" applyBorder="1" applyAlignment="1">
      <alignment horizontal="left"/>
    </xf>
    <xf numFmtId="0" fontId="0" fillId="5" borderId="0" xfId="0" applyFill="1" applyAlignment="1">
      <alignment horizontal="center"/>
    </xf>
    <xf numFmtId="2" fontId="1" fillId="3" borderId="12" xfId="0" applyNumberFormat="1" applyFont="1" applyFill="1" applyBorder="1"/>
    <xf numFmtId="2" fontId="0" fillId="3" borderId="10" xfId="0" applyNumberFormat="1" applyFill="1" applyBorder="1"/>
    <xf numFmtId="2" fontId="0" fillId="3" borderId="15" xfId="0" applyNumberFormat="1" applyFill="1" applyBorder="1"/>
    <xf numFmtId="0" fontId="0" fillId="7" borderId="10" xfId="0" applyFill="1" applyBorder="1"/>
    <xf numFmtId="0" fontId="0" fillId="4" borderId="14" xfId="0" applyFill="1" applyBorder="1" applyAlignment="1" applyProtection="1">
      <alignment horizontal="right"/>
      <protection locked="0"/>
    </xf>
    <xf numFmtId="0" fontId="0" fillId="4" borderId="9" xfId="0" applyFill="1" applyBorder="1" applyAlignment="1" applyProtection="1">
      <alignment horizontal="center"/>
      <protection locked="0"/>
    </xf>
    <xf numFmtId="164" fontId="0" fillId="3" borderId="6" xfId="0" applyNumberFormat="1" applyFill="1" applyBorder="1"/>
    <xf numFmtId="0" fontId="0" fillId="3" borderId="7" xfId="0" applyFill="1" applyBorder="1"/>
    <xf numFmtId="0" fontId="0" fillId="7" borderId="15" xfId="0" applyFill="1" applyBorder="1" applyAlignment="1">
      <alignment horizontal="left"/>
    </xf>
    <xf numFmtId="164" fontId="1" fillId="3" borderId="5" xfId="0" applyNumberFormat="1" applyFont="1" applyFill="1" applyBorder="1"/>
    <xf numFmtId="164" fontId="1" fillId="3" borderId="6" xfId="0" applyNumberFormat="1" applyFont="1" applyFill="1" applyBorder="1"/>
    <xf numFmtId="164" fontId="1" fillId="3" borderId="7" xfId="0" applyNumberFormat="1" applyFont="1" applyFill="1" applyBorder="1"/>
    <xf numFmtId="0" fontId="9" fillId="3" borderId="4" xfId="0" applyFont="1" applyFill="1" applyBorder="1"/>
    <xf numFmtId="0" fontId="0" fillId="4" borderId="12" xfId="0" applyFill="1" applyBorder="1" applyAlignment="1" applyProtection="1">
      <alignment horizontal="right"/>
      <protection locked="0"/>
    </xf>
    <xf numFmtId="0" fontId="0" fillId="4" borderId="10" xfId="0" applyFill="1" applyBorder="1" applyAlignment="1" applyProtection="1">
      <alignment horizontal="center"/>
      <protection locked="0"/>
    </xf>
    <xf numFmtId="0" fontId="0" fillId="5" borderId="0" xfId="0" applyFill="1" applyBorder="1" applyAlignment="1">
      <alignment horizontal="center" vertical="center" textRotation="90"/>
    </xf>
    <xf numFmtId="0" fontId="0" fillId="5" borderId="0" xfId="0" applyFill="1" applyBorder="1" applyAlignment="1">
      <alignment horizontal="center" vertical="center"/>
    </xf>
    <xf numFmtId="0" fontId="0" fillId="5" borderId="0" xfId="0" applyFill="1" applyBorder="1" applyAlignment="1">
      <alignment horizontal="left" vertical="center"/>
    </xf>
    <xf numFmtId="164" fontId="0" fillId="5" borderId="0" xfId="0" applyNumberFormat="1" applyFill="1" applyBorder="1" applyAlignment="1">
      <alignment horizontal="center" vertical="center"/>
    </xf>
    <xf numFmtId="0" fontId="0" fillId="6" borderId="1" xfId="0" applyFill="1" applyBorder="1" applyAlignment="1">
      <alignment horizontal="center"/>
    </xf>
    <xf numFmtId="0" fontId="0" fillId="6" borderId="5" xfId="0" applyFill="1" applyBorder="1" applyAlignment="1"/>
    <xf numFmtId="0" fontId="0" fillId="6" borderId="6" xfId="0" applyFill="1" applyBorder="1" applyAlignment="1"/>
    <xf numFmtId="0" fontId="0" fillId="6" borderId="7" xfId="0" applyFill="1" applyBorder="1" applyAlignment="1"/>
    <xf numFmtId="0" fontId="0" fillId="6" borderId="1" xfId="0" applyFill="1" applyBorder="1" applyAlignment="1">
      <alignment horizontal="center" vertical="center"/>
    </xf>
    <xf numFmtId="0" fontId="0" fillId="6" borderId="2" xfId="0" applyFill="1" applyBorder="1" applyAlignment="1">
      <alignment horizontal="center" vertical="center" wrapText="1"/>
    </xf>
    <xf numFmtId="0" fontId="0" fillId="6" borderId="1" xfId="0" applyFill="1" applyBorder="1" applyAlignment="1">
      <alignment horizontal="center" vertical="center" wrapText="1"/>
    </xf>
    <xf numFmtId="0" fontId="0" fillId="6" borderId="4" xfId="0" applyFill="1" applyBorder="1" applyAlignment="1">
      <alignment horizontal="center" vertical="center" wrapText="1"/>
    </xf>
    <xf numFmtId="0" fontId="0" fillId="6" borderId="2" xfId="0" applyFill="1" applyBorder="1" applyAlignment="1">
      <alignment horizontal="center" vertical="center"/>
    </xf>
    <xf numFmtId="164" fontId="0" fillId="6" borderId="2" xfId="0" applyNumberFormat="1" applyFill="1" applyBorder="1" applyAlignment="1">
      <alignment horizontal="center" vertical="center"/>
    </xf>
    <xf numFmtId="164" fontId="0" fillId="6" borderId="1" xfId="0" applyNumberFormat="1" applyFill="1" applyBorder="1" applyAlignment="1">
      <alignment horizontal="center" vertical="center"/>
    </xf>
    <xf numFmtId="164" fontId="0" fillId="6" borderId="7" xfId="0" applyNumberFormat="1" applyFill="1" applyBorder="1" applyAlignment="1">
      <alignment horizontal="center" vertical="center"/>
    </xf>
    <xf numFmtId="164" fontId="0" fillId="6" borderId="8" xfId="0" applyNumberFormat="1" applyFill="1" applyBorder="1" applyAlignment="1">
      <alignment horizontal="center" vertical="center"/>
    </xf>
    <xf numFmtId="0" fontId="0" fillId="3" borderId="2" xfId="0" applyFill="1" applyBorder="1" applyAlignment="1">
      <alignment horizontal="center" vertical="center"/>
    </xf>
    <xf numFmtId="14" fontId="0" fillId="3" borderId="2" xfId="0" applyNumberFormat="1" applyFill="1" applyBorder="1" applyAlignment="1">
      <alignment horizontal="center" vertical="center"/>
    </xf>
    <xf numFmtId="0" fontId="0" fillId="3" borderId="14" xfId="0" applyNumberFormat="1" applyFill="1" applyBorder="1" applyAlignment="1">
      <alignment horizontal="center" vertical="center"/>
    </xf>
    <xf numFmtId="1" fontId="3" fillId="3" borderId="8" xfId="0" applyNumberFormat="1" applyFont="1" applyFill="1" applyBorder="1" applyAlignment="1">
      <alignment horizontal="center" vertical="center"/>
    </xf>
    <xf numFmtId="2" fontId="0" fillId="3" borderId="2" xfId="0" applyNumberFormat="1" applyFill="1" applyBorder="1" applyAlignment="1">
      <alignment horizontal="center" vertical="center"/>
    </xf>
    <xf numFmtId="2" fontId="0" fillId="3" borderId="8" xfId="0" applyNumberFormat="1" applyFill="1" applyBorder="1" applyAlignment="1">
      <alignment horizontal="center" vertical="center"/>
    </xf>
    <xf numFmtId="1" fontId="0" fillId="3" borderId="2" xfId="0" applyNumberFormat="1" applyFill="1" applyBorder="1" applyAlignment="1">
      <alignment horizontal="center" vertical="center"/>
    </xf>
    <xf numFmtId="1" fontId="0" fillId="0" borderId="3" xfId="0" applyNumberFormat="1" applyFill="1" applyBorder="1" applyAlignment="1" applyProtection="1">
      <alignment horizontal="center" vertical="center"/>
      <protection locked="0"/>
    </xf>
    <xf numFmtId="9" fontId="0" fillId="3" borderId="2" xfId="1" applyNumberFormat="1" applyFont="1" applyFill="1" applyBorder="1" applyAlignment="1">
      <alignment horizontal="center" vertical="center"/>
    </xf>
    <xf numFmtId="9" fontId="0" fillId="3" borderId="2" xfId="1" applyFont="1" applyFill="1" applyBorder="1" applyAlignment="1">
      <alignment horizontal="center" vertical="center"/>
    </xf>
    <xf numFmtId="164" fontId="0" fillId="3" borderId="2" xfId="0" applyNumberFormat="1" applyFill="1" applyBorder="1" applyAlignment="1">
      <alignment horizontal="center" vertical="center"/>
    </xf>
    <xf numFmtId="164" fontId="0" fillId="3" borderId="13" xfId="0" applyNumberFormat="1" applyFill="1" applyBorder="1" applyAlignment="1">
      <alignment horizontal="center" vertical="center"/>
    </xf>
    <xf numFmtId="164" fontId="0" fillId="5" borderId="0" xfId="0" applyNumberFormat="1" applyFill="1"/>
    <xf numFmtId="0" fontId="0" fillId="6" borderId="3" xfId="0" applyFill="1" applyBorder="1" applyAlignment="1">
      <alignment horizontal="center" vertical="center"/>
    </xf>
    <xf numFmtId="0" fontId="0" fillId="3" borderId="3" xfId="0" applyFill="1" applyBorder="1" applyAlignment="1">
      <alignment horizontal="center" vertical="center"/>
    </xf>
    <xf numFmtId="14" fontId="0" fillId="3" borderId="3" xfId="0" applyNumberFormat="1" applyFill="1" applyBorder="1" applyAlignment="1">
      <alignment horizontal="center" vertical="center"/>
    </xf>
    <xf numFmtId="1" fontId="0" fillId="3" borderId="14" xfId="0" applyNumberFormat="1" applyFill="1" applyBorder="1" applyAlignment="1">
      <alignment horizontal="center" vertical="center"/>
    </xf>
    <xf numFmtId="1" fontId="3" fillId="3" borderId="14" xfId="0" applyNumberFormat="1" applyFont="1" applyFill="1" applyBorder="1" applyAlignment="1">
      <alignment horizontal="center" vertical="center"/>
    </xf>
    <xf numFmtId="2" fontId="0" fillId="3" borderId="3" xfId="0" applyNumberFormat="1" applyFill="1" applyBorder="1" applyAlignment="1">
      <alignment horizontal="center" vertical="center"/>
    </xf>
    <xf numFmtId="2" fontId="0" fillId="3" borderId="14" xfId="0" applyNumberFormat="1" applyFill="1" applyBorder="1" applyAlignment="1">
      <alignment horizontal="center" vertical="center"/>
    </xf>
    <xf numFmtId="2" fontId="0" fillId="3" borderId="14" xfId="0" applyNumberFormat="1" applyFont="1" applyFill="1" applyBorder="1" applyAlignment="1">
      <alignment horizontal="center" vertical="center"/>
    </xf>
    <xf numFmtId="1" fontId="0" fillId="3" borderId="3" xfId="0" applyNumberFormat="1" applyFill="1" applyBorder="1" applyAlignment="1">
      <alignment horizontal="center" vertical="center"/>
    </xf>
    <xf numFmtId="9" fontId="0" fillId="3" borderId="3" xfId="1" applyNumberFormat="1" applyFont="1" applyFill="1" applyBorder="1" applyAlignment="1">
      <alignment horizontal="center" vertical="center"/>
    </xf>
    <xf numFmtId="9" fontId="0" fillId="3" borderId="14" xfId="1" applyFont="1" applyFill="1" applyBorder="1" applyAlignment="1">
      <alignment horizontal="center" vertical="center"/>
    </xf>
    <xf numFmtId="164" fontId="0" fillId="3" borderId="3" xfId="0" applyNumberFormat="1" applyFill="1" applyBorder="1" applyAlignment="1">
      <alignment horizontal="center" vertical="center"/>
    </xf>
    <xf numFmtId="9" fontId="0" fillId="3" borderId="3" xfId="1" applyFont="1" applyFill="1" applyBorder="1" applyAlignment="1">
      <alignment horizontal="center" vertical="center"/>
    </xf>
    <xf numFmtId="164" fontId="0" fillId="3" borderId="9" xfId="0" applyNumberFormat="1" applyFill="1" applyBorder="1" applyAlignment="1">
      <alignment horizontal="center" vertical="center"/>
    </xf>
    <xf numFmtId="1" fontId="0" fillId="0" borderId="14" xfId="0" applyNumberFormat="1" applyFill="1" applyBorder="1" applyAlignment="1" applyProtection="1">
      <alignment horizontal="center" vertical="center"/>
      <protection locked="0"/>
    </xf>
    <xf numFmtId="164" fontId="0" fillId="3" borderId="14" xfId="0" applyNumberFormat="1" applyFill="1" applyBorder="1" applyAlignment="1">
      <alignment horizontal="center" vertical="center"/>
    </xf>
    <xf numFmtId="0" fontId="0" fillId="6" borderId="4" xfId="0" applyFill="1" applyBorder="1" applyAlignment="1">
      <alignment horizontal="center" vertical="center"/>
    </xf>
    <xf numFmtId="0" fontId="0" fillId="3" borderId="4" xfId="0" applyFill="1" applyBorder="1" applyAlignment="1">
      <alignment horizontal="center" vertical="center"/>
    </xf>
    <xf numFmtId="14" fontId="0" fillId="3" borderId="4" xfId="0" applyNumberFormat="1" applyFill="1" applyBorder="1" applyAlignment="1">
      <alignment horizontal="center" vertical="center"/>
    </xf>
    <xf numFmtId="1" fontId="0" fillId="3" borderId="4" xfId="0" applyNumberFormat="1" applyFill="1" applyBorder="1" applyAlignment="1">
      <alignment horizontal="center" vertical="center"/>
    </xf>
    <xf numFmtId="1" fontId="3" fillId="3" borderId="4"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2" fontId="0" fillId="3" borderId="4" xfId="0" applyNumberFormat="1" applyFont="1" applyFill="1" applyBorder="1" applyAlignment="1">
      <alignment horizontal="center" vertical="center"/>
    </xf>
    <xf numFmtId="1" fontId="0" fillId="0" borderId="10" xfId="0" applyNumberFormat="1" applyFill="1" applyBorder="1" applyAlignment="1" applyProtection="1">
      <alignment horizontal="center" vertical="center"/>
      <protection locked="0"/>
    </xf>
    <xf numFmtId="9" fontId="0" fillId="3" borderId="4" xfId="1" applyNumberFormat="1" applyFont="1" applyFill="1" applyBorder="1" applyAlignment="1">
      <alignment horizontal="center" vertical="center"/>
    </xf>
    <xf numFmtId="9" fontId="0" fillId="3" borderId="4" xfId="1" applyFont="1" applyFill="1" applyBorder="1" applyAlignment="1">
      <alignment horizontal="center" vertical="center"/>
    </xf>
    <xf numFmtId="0" fontId="12" fillId="5" borderId="0" xfId="0" applyFont="1" applyFill="1" applyProtection="1"/>
    <xf numFmtId="0" fontId="11" fillId="5" borderId="0" xfId="0" applyFont="1" applyFill="1" applyProtection="1"/>
    <xf numFmtId="0" fontId="14" fillId="5" borderId="0" xfId="2" applyFont="1" applyFill="1" applyProtection="1"/>
    <xf numFmtId="0" fontId="5" fillId="5" borderId="0" xfId="0" applyFont="1" applyFill="1" applyProtection="1"/>
    <xf numFmtId="0" fontId="0" fillId="0" borderId="1" xfId="0" applyFill="1" applyBorder="1" applyProtection="1"/>
    <xf numFmtId="0" fontId="2" fillId="3" borderId="1" xfId="0" applyFont="1" applyFill="1" applyBorder="1" applyProtection="1"/>
    <xf numFmtId="0" fontId="0" fillId="2" borderId="5" xfId="0" applyFill="1" applyBorder="1" applyAlignment="1">
      <alignment vertical="center"/>
    </xf>
    <xf numFmtId="0" fontId="0" fillId="2" borderId="6" xfId="0" applyFill="1" applyBorder="1" applyAlignment="1">
      <alignment vertical="center"/>
    </xf>
    <xf numFmtId="1" fontId="0" fillId="4" borderId="3" xfId="0" applyNumberFormat="1" applyFill="1" applyBorder="1" applyAlignment="1" applyProtection="1">
      <alignment horizontal="center" vertical="center"/>
      <protection locked="0"/>
    </xf>
    <xf numFmtId="1" fontId="0" fillId="4" borderId="14"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2" fontId="0" fillId="4" borderId="2" xfId="0" applyNumberFormat="1" applyFont="1" applyFill="1" applyBorder="1" applyAlignment="1" applyProtection="1">
      <alignment horizontal="center" vertical="center"/>
      <protection locked="0"/>
    </xf>
    <xf numFmtId="2" fontId="0" fillId="4" borderId="3" xfId="0" applyNumberFormat="1" applyFont="1" applyFill="1" applyBorder="1" applyAlignment="1" applyProtection="1">
      <alignment horizontal="center" vertical="center"/>
      <protection locked="0"/>
    </xf>
    <xf numFmtId="2" fontId="0" fillId="4" borderId="4" xfId="0" applyNumberFormat="1" applyFont="1" applyFill="1" applyBorder="1" applyAlignment="1" applyProtection="1">
      <alignment horizontal="center" vertical="center"/>
      <protection locked="0"/>
    </xf>
    <xf numFmtId="1" fontId="0" fillId="5" borderId="0" xfId="0" applyNumberFormat="1" applyFill="1" applyProtection="1">
      <protection locked="0"/>
    </xf>
    <xf numFmtId="0" fontId="0" fillId="5" borderId="0" xfId="0" applyFill="1" applyAlignment="1" applyProtection="1">
      <alignment horizontal="left" wrapText="1"/>
    </xf>
    <xf numFmtId="164" fontId="1" fillId="3" borderId="6" xfId="0" applyNumberFormat="1" applyFont="1" applyFill="1" applyBorder="1" applyAlignment="1" applyProtection="1">
      <alignment horizontal="center"/>
    </xf>
    <xf numFmtId="0" fontId="0" fillId="6" borderId="5"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8" fillId="3" borderId="2" xfId="0" applyFont="1" applyFill="1" applyBorder="1" applyAlignment="1" applyProtection="1">
      <alignment horizontal="center" vertical="top" wrapText="1"/>
    </xf>
    <xf numFmtId="0" fontId="8" fillId="3" borderId="4" xfId="0" applyFont="1" applyFill="1" applyBorder="1" applyAlignment="1" applyProtection="1">
      <alignment horizontal="center" vertical="top" wrapText="1"/>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7" borderId="8" xfId="0" applyFill="1" applyBorder="1" applyAlignment="1" applyProtection="1">
      <alignment horizontal="center"/>
    </xf>
    <xf numFmtId="0" fontId="0" fillId="7" borderId="11" xfId="0" applyFill="1" applyBorder="1" applyAlignment="1" applyProtection="1">
      <alignment horizontal="center"/>
    </xf>
    <xf numFmtId="0" fontId="0" fillId="7" borderId="13" xfId="0" applyFill="1" applyBorder="1" applyAlignment="1" applyProtection="1">
      <alignment horizontal="center"/>
    </xf>
    <xf numFmtId="0" fontId="0" fillId="7" borderId="5" xfId="0" applyFill="1" applyBorder="1" applyAlignment="1" applyProtection="1">
      <alignment horizontal="center"/>
    </xf>
    <xf numFmtId="0" fontId="0" fillId="7" borderId="6" xfId="0" applyFill="1" applyBorder="1" applyAlignment="1" applyProtection="1">
      <alignment horizontal="center"/>
    </xf>
    <xf numFmtId="0" fontId="0" fillId="7" borderId="7" xfId="0" applyFill="1" applyBorder="1" applyAlignment="1" applyProtection="1">
      <alignment horizontal="center"/>
    </xf>
    <xf numFmtId="0" fontId="0" fillId="2" borderId="1" xfId="0" applyFill="1" applyBorder="1" applyAlignment="1" applyProtection="1">
      <alignment horizontal="left" vertical="center"/>
      <protection locked="0"/>
    </xf>
    <xf numFmtId="0" fontId="10" fillId="5" borderId="0" xfId="0" applyFont="1" applyFill="1" applyBorder="1" applyAlignment="1" applyProtection="1">
      <alignment horizontal="center" wrapText="1"/>
      <protection locked="0"/>
    </xf>
    <xf numFmtId="0" fontId="10" fillId="5" borderId="15" xfId="0" applyFont="1" applyFill="1" applyBorder="1" applyAlignment="1" applyProtection="1">
      <alignment horizontal="center" wrapText="1"/>
      <protection locked="0"/>
    </xf>
    <xf numFmtId="0" fontId="0" fillId="3" borderId="5"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1" fillId="2" borderId="5"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2" xfId="0" applyFill="1" applyBorder="1" applyAlignment="1" applyProtection="1">
      <alignment horizontal="center" vertical="center" textRotation="90"/>
      <protection locked="0"/>
    </xf>
    <xf numFmtId="0" fontId="0" fillId="2" borderId="3" xfId="0" applyFill="1" applyBorder="1" applyAlignment="1" applyProtection="1">
      <alignment horizontal="center" vertical="center" textRotation="90"/>
      <protection locked="0"/>
    </xf>
    <xf numFmtId="0" fontId="0" fillId="2" borderId="4" xfId="0" applyFill="1" applyBorder="1" applyAlignment="1" applyProtection="1">
      <alignment horizontal="center" vertical="center" textRotation="90"/>
      <protection locked="0"/>
    </xf>
    <xf numFmtId="0" fontId="0" fillId="3" borderId="2" xfId="0" applyFill="1" applyBorder="1" applyAlignment="1" applyProtection="1">
      <alignment horizontal="center" wrapText="1"/>
      <protection locked="0"/>
    </xf>
    <xf numFmtId="0" fontId="0" fillId="3" borderId="4" xfId="0" applyFill="1" applyBorder="1" applyAlignment="1" applyProtection="1">
      <alignment horizontal="center" wrapText="1"/>
      <protection locked="0"/>
    </xf>
    <xf numFmtId="0" fontId="8" fillId="3" borderId="2" xfId="0" applyFont="1" applyFill="1" applyBorder="1" applyAlignment="1" applyProtection="1">
      <alignment horizontal="center" vertical="top" wrapText="1"/>
      <protection locked="0"/>
    </xf>
    <xf numFmtId="0" fontId="8" fillId="3" borderId="4" xfId="0" applyFont="1" applyFill="1" applyBorder="1" applyAlignment="1" applyProtection="1">
      <alignment horizontal="center" vertical="top" wrapText="1"/>
      <protection locked="0"/>
    </xf>
    <xf numFmtId="0" fontId="0" fillId="7" borderId="8" xfId="0" applyFill="1" applyBorder="1" applyAlignment="1" applyProtection="1">
      <alignment horizontal="center"/>
      <protection locked="0"/>
    </xf>
    <xf numFmtId="0" fontId="0" fillId="7" borderId="13" xfId="0" applyFill="1" applyBorder="1" applyAlignment="1" applyProtection="1">
      <alignment horizontal="center"/>
      <protection locked="0"/>
    </xf>
    <xf numFmtId="0" fontId="0" fillId="7" borderId="11" xfId="0" applyFill="1" applyBorder="1" applyAlignment="1" applyProtection="1">
      <alignment horizontal="center"/>
      <protection locked="0"/>
    </xf>
    <xf numFmtId="0" fontId="0" fillId="2" borderId="5"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0" fillId="5" borderId="0" xfId="0" applyFill="1" applyBorder="1" applyAlignment="1" applyProtection="1">
      <alignment horizontal="center"/>
      <protection locked="0"/>
    </xf>
    <xf numFmtId="0" fontId="8" fillId="3" borderId="3" xfId="0" applyFont="1" applyFill="1" applyBorder="1" applyAlignment="1" applyProtection="1">
      <alignment horizontal="center" vertical="top" wrapText="1"/>
      <protection locked="0"/>
    </xf>
    <xf numFmtId="0" fontId="8" fillId="3" borderId="2" xfId="0" applyFont="1" applyFill="1" applyBorder="1" applyAlignment="1">
      <alignment horizontal="center" vertical="top" wrapText="1"/>
    </xf>
    <xf numFmtId="0" fontId="8" fillId="3" borderId="4" xfId="0" applyFont="1" applyFill="1" applyBorder="1" applyAlignment="1">
      <alignment horizontal="center" vertical="top" wrapText="1"/>
    </xf>
    <xf numFmtId="164" fontId="1" fillId="3" borderId="6" xfId="0" applyNumberFormat="1" applyFont="1" applyFill="1"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0" fontId="0" fillId="6" borderId="7" xfId="0" applyFill="1" applyBorder="1" applyAlignment="1">
      <alignment horizontal="center"/>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0" fillId="6" borderId="7" xfId="0" applyFill="1" applyBorder="1" applyAlignment="1">
      <alignment horizontal="center" vertical="center" wrapText="1"/>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2" xfId="0" applyFill="1" applyBorder="1" applyAlignment="1">
      <alignment horizontal="center" vertical="center" textRotation="90"/>
    </xf>
    <xf numFmtId="0" fontId="0" fillId="2" borderId="3" xfId="0" applyFill="1" applyBorder="1" applyAlignment="1">
      <alignment horizontal="center" vertical="center" textRotation="90"/>
    </xf>
    <xf numFmtId="0" fontId="0" fillId="2" borderId="4" xfId="0" applyFill="1" applyBorder="1" applyAlignment="1">
      <alignment horizontal="center" vertical="center" textRotation="90"/>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7" borderId="8" xfId="0" applyFill="1" applyBorder="1" applyAlignment="1">
      <alignment horizontal="center"/>
    </xf>
    <xf numFmtId="0" fontId="0" fillId="7" borderId="11" xfId="0" applyFill="1" applyBorder="1" applyAlignment="1">
      <alignment horizontal="center"/>
    </xf>
    <xf numFmtId="0" fontId="0" fillId="7" borderId="13" xfId="0" applyFill="1" applyBorder="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5" borderId="0" xfId="0" applyFill="1" applyBorder="1" applyAlignment="1">
      <alignment horizontal="center"/>
    </xf>
    <xf numFmtId="0" fontId="1" fillId="5" borderId="0" xfId="0" applyFont="1" applyFill="1" applyAlignment="1">
      <alignment horizontal="center" wrapText="1"/>
    </xf>
    <xf numFmtId="0" fontId="1" fillId="5" borderId="15" xfId="0" applyFont="1" applyFill="1" applyBorder="1" applyAlignment="1">
      <alignment horizontal="center" wrapText="1"/>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10" fillId="5" borderId="0" xfId="0" applyFont="1" applyFill="1" applyBorder="1" applyAlignment="1">
      <alignment horizontal="center" wrapText="1"/>
    </xf>
    <xf numFmtId="0" fontId="10" fillId="5" borderId="15" xfId="0" applyFont="1" applyFill="1" applyBorder="1" applyAlignment="1">
      <alignment horizontal="center" wrapText="1"/>
    </xf>
    <xf numFmtId="0" fontId="0" fillId="2" borderId="1" xfId="0" applyFill="1" applyBorder="1" applyAlignment="1">
      <alignment horizontal="left" vertical="center"/>
    </xf>
    <xf numFmtId="0" fontId="8" fillId="3" borderId="3" xfId="0" applyFont="1" applyFill="1" applyBorder="1" applyAlignment="1">
      <alignment horizontal="center" vertical="top"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0" fillId="2" borderId="8" xfId="0" applyFill="1" applyBorder="1" applyAlignment="1">
      <alignment horizontal="center" vertical="center"/>
    </xf>
    <xf numFmtId="0" fontId="0" fillId="2" borderId="11" xfId="0" applyFill="1" applyBorder="1" applyAlignment="1">
      <alignment horizontal="center" vertical="center"/>
    </xf>
    <xf numFmtId="0" fontId="0" fillId="2" borderId="13" xfId="0" applyFill="1" applyBorder="1" applyAlignment="1">
      <alignment horizontal="center" vertical="center"/>
    </xf>
    <xf numFmtId="0" fontId="0" fillId="3" borderId="2" xfId="0" applyFill="1" applyBorder="1" applyAlignment="1">
      <alignment horizontal="center" wrapText="1"/>
    </xf>
    <xf numFmtId="0" fontId="0" fillId="3" borderId="4" xfId="0" applyFill="1" applyBorder="1" applyAlignment="1">
      <alignment horizontal="center" wrapText="1"/>
    </xf>
    <xf numFmtId="0" fontId="0" fillId="3" borderId="5" xfId="0" applyFill="1" applyBorder="1" applyAlignment="1">
      <alignment horizontal="center"/>
    </xf>
    <xf numFmtId="0" fontId="0" fillId="3" borderId="7" xfId="0" applyFill="1" applyBorder="1" applyAlignment="1">
      <alignment horizontal="center"/>
    </xf>
    <xf numFmtId="0" fontId="0" fillId="5" borderId="12" xfId="0" applyFill="1" applyBorder="1" applyAlignment="1" applyProtection="1">
      <alignment horizontal="center"/>
      <protection locked="0"/>
    </xf>
    <xf numFmtId="0" fontId="0" fillId="5" borderId="10" xfId="0" applyFill="1" applyBorder="1" applyAlignment="1" applyProtection="1">
      <alignment horizontal="center"/>
      <protection locked="0"/>
    </xf>
    <xf numFmtId="0" fontId="0" fillId="5" borderId="0" xfId="0" applyFill="1" applyAlignment="1" applyProtection="1">
      <alignment horizontal="left" wrapText="1"/>
      <protection locked="0"/>
    </xf>
    <xf numFmtId="0" fontId="0" fillId="5" borderId="5" xfId="0" applyFill="1" applyBorder="1" applyAlignment="1" applyProtection="1">
      <alignment horizontal="center"/>
      <protection locked="0"/>
    </xf>
    <xf numFmtId="0" fontId="0" fillId="5" borderId="7" xfId="0" applyFill="1" applyBorder="1" applyAlignment="1" applyProtection="1">
      <alignment horizontal="center"/>
      <protection locked="0"/>
    </xf>
    <xf numFmtId="0" fontId="0" fillId="5" borderId="8" xfId="0" applyFill="1" applyBorder="1" applyAlignment="1" applyProtection="1">
      <alignment horizontal="center"/>
      <protection locked="0"/>
    </xf>
    <xf numFmtId="0" fontId="0" fillId="5" borderId="13" xfId="0" applyFill="1" applyBorder="1" applyAlignment="1" applyProtection="1">
      <alignment horizontal="center"/>
      <protection locked="0"/>
    </xf>
    <xf numFmtId="165" fontId="0" fillId="4" borderId="1" xfId="1" applyNumberFormat="1" applyFont="1" applyFill="1" applyBorder="1" applyAlignment="1" applyProtection="1">
      <alignment horizontal="center" vertical="center"/>
      <protection locked="0"/>
    </xf>
    <xf numFmtId="9" fontId="0" fillId="4" borderId="1" xfId="1" applyFont="1" applyFill="1" applyBorder="1" applyAlignment="1" applyProtection="1">
      <alignment horizontal="center" vertical="center"/>
      <protection locked="0"/>
    </xf>
  </cellXfs>
  <cellStyles count="3">
    <cellStyle name="Lien hypertexte" xfId="2" builtinId="8"/>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1850919347337"/>
          <c:y val="8.2048899292993777E-2"/>
          <c:w val="0.73191540021791868"/>
          <c:h val="0.65270339799038513"/>
        </c:manualLayout>
      </c:layout>
      <c:scatterChart>
        <c:scatterStyle val="lineMarker"/>
        <c:varyColors val="0"/>
        <c:ser>
          <c:idx val="1"/>
          <c:order val="0"/>
          <c:tx>
            <c:v>Offre au pâturage (g MS/j/lapin)</c:v>
          </c:tx>
          <c:spPr>
            <a:ln w="28575">
              <a:solidFill>
                <a:srgbClr val="00B050"/>
              </a:solidFill>
            </a:ln>
          </c:spPr>
          <c:marker>
            <c:symbol val="none"/>
          </c:marker>
          <c:xVal>
            <c:numRef>
              <c:f>Cage!$B$39:$B$48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Cage!$K$39:$K$48</c:f>
              <c:numCache>
                <c:formatCode>0</c:formatCode>
                <c:ptCount val="10"/>
                <c:pt idx="0">
                  <c:v>80</c:v>
                </c:pt>
                <c:pt idx="1">
                  <c:v>88.000000000000014</c:v>
                </c:pt>
                <c:pt idx="2">
                  <c:v>99.310344827586206</c:v>
                </c:pt>
                <c:pt idx="3">
                  <c:v>120</c:v>
                </c:pt>
                <c:pt idx="4">
                  <c:v>143.07692307692307</c:v>
                </c:pt>
                <c:pt idx="5">
                  <c:v>156.92307692307691</c:v>
                </c:pt>
                <c:pt idx="6">
                  <c:v>175.38461538461539</c:v>
                </c:pt>
                <c:pt idx="7">
                  <c:v>211.76470588235293</c:v>
                </c:pt>
                <c:pt idx="8">
                  <c:v>244.89795918367346</c:v>
                </c:pt>
                <c:pt idx="9">
                  <c:v>250</c:v>
                </c:pt>
              </c:numCache>
            </c:numRef>
          </c:yVal>
          <c:smooth val="0"/>
          <c:extLst xmlns:c16r2="http://schemas.microsoft.com/office/drawing/2015/06/chart">
            <c:ext xmlns:c16="http://schemas.microsoft.com/office/drawing/2014/chart" uri="{C3380CC4-5D6E-409C-BE32-E72D297353CC}">
              <c16:uniqueId val="{00000000-5372-4721-A03F-DB60965A086A}"/>
            </c:ext>
          </c:extLst>
        </c:ser>
        <c:ser>
          <c:idx val="2"/>
          <c:order val="1"/>
          <c:tx>
            <c:v>Ingestion d'herbe (g MS/j/lapin)</c:v>
          </c:tx>
          <c:spPr>
            <a:ln w="28575">
              <a:solidFill>
                <a:srgbClr val="92D050"/>
              </a:solidFill>
            </a:ln>
          </c:spPr>
          <c:marker>
            <c:symbol val="none"/>
          </c:marker>
          <c:xVal>
            <c:numRef>
              <c:f>Cage!$B$39:$B$48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Cage!$U$39:$U$48</c:f>
              <c:numCache>
                <c:formatCode>0.0</c:formatCode>
                <c:ptCount val="10"/>
                <c:pt idx="0">
                  <c:v>58.640101775435454</c:v>
                </c:pt>
                <c:pt idx="1">
                  <c:v>61.986808224668131</c:v>
                </c:pt>
                <c:pt idx="2">
                  <c:v>66.936647633611486</c:v>
                </c:pt>
                <c:pt idx="3">
                  <c:v>63.242648535049661</c:v>
                </c:pt>
                <c:pt idx="4">
                  <c:v>62.905743823868164</c:v>
                </c:pt>
                <c:pt idx="5">
                  <c:v>63.644179955435433</c:v>
                </c:pt>
                <c:pt idx="6">
                  <c:v>64.627424740884081</c:v>
                </c:pt>
                <c:pt idx="7">
                  <c:v>65.187498655189913</c:v>
                </c:pt>
                <c:pt idx="8">
                  <c:v>65.956428269371287</c:v>
                </c:pt>
                <c:pt idx="9">
                  <c:v>67.667667725298912</c:v>
                </c:pt>
              </c:numCache>
            </c:numRef>
          </c:yVal>
          <c:smooth val="0"/>
          <c:extLst xmlns:c16r2="http://schemas.microsoft.com/office/drawing/2015/06/chart">
            <c:ext xmlns:c16="http://schemas.microsoft.com/office/drawing/2014/chart" uri="{C3380CC4-5D6E-409C-BE32-E72D297353CC}">
              <c16:uniqueId val="{00000001-5372-4721-A03F-DB60965A086A}"/>
            </c:ext>
          </c:extLst>
        </c:ser>
        <c:ser>
          <c:idx val="3"/>
          <c:order val="2"/>
          <c:tx>
            <c:v>Ingestion totale (g MS/j/lapin)</c:v>
          </c:tx>
          <c:spPr>
            <a:ln w="28575">
              <a:solidFill>
                <a:schemeClr val="accent6">
                  <a:lumMod val="75000"/>
                </a:schemeClr>
              </a:solidFill>
            </a:ln>
          </c:spPr>
          <c:marker>
            <c:symbol val="none"/>
          </c:marker>
          <c:xVal>
            <c:numRef>
              <c:f>Cage!$B$39:$B$48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Cage!$X$39:$X$48</c:f>
              <c:numCache>
                <c:formatCode>0.0</c:formatCode>
                <c:ptCount val="10"/>
                <c:pt idx="0">
                  <c:v>76.348101775435453</c:v>
                </c:pt>
                <c:pt idx="1">
                  <c:v>79.694808224668122</c:v>
                </c:pt>
                <c:pt idx="2">
                  <c:v>84.644647633611484</c:v>
                </c:pt>
                <c:pt idx="3">
                  <c:v>80.950648535049652</c:v>
                </c:pt>
                <c:pt idx="4">
                  <c:v>80.613743823868163</c:v>
                </c:pt>
                <c:pt idx="5">
                  <c:v>81.352179955435432</c:v>
                </c:pt>
                <c:pt idx="6">
                  <c:v>82.335424740884079</c:v>
                </c:pt>
                <c:pt idx="7">
                  <c:v>82.895498655189911</c:v>
                </c:pt>
                <c:pt idx="8">
                  <c:v>83.664428269371285</c:v>
                </c:pt>
                <c:pt idx="9">
                  <c:v>85.375667725298911</c:v>
                </c:pt>
              </c:numCache>
            </c:numRef>
          </c:yVal>
          <c:smooth val="0"/>
          <c:extLst xmlns:c16r2="http://schemas.microsoft.com/office/drawing/2015/06/chart">
            <c:ext xmlns:c16="http://schemas.microsoft.com/office/drawing/2014/chart" uri="{C3380CC4-5D6E-409C-BE32-E72D297353CC}">
              <c16:uniqueId val="{00000002-5372-4721-A03F-DB60965A086A}"/>
            </c:ext>
          </c:extLst>
        </c:ser>
        <c:dLbls>
          <c:showLegendKey val="0"/>
          <c:showVal val="0"/>
          <c:showCatName val="0"/>
          <c:showSerName val="0"/>
          <c:showPercent val="0"/>
          <c:showBubbleSize val="0"/>
        </c:dLbls>
        <c:axId val="104030784"/>
        <c:axId val="104031360"/>
      </c:scatterChart>
      <c:scatterChart>
        <c:scatterStyle val="lineMarker"/>
        <c:varyColors val="0"/>
        <c:ser>
          <c:idx val="0"/>
          <c:order val="3"/>
          <c:tx>
            <c:v>Poids vif (kg)</c:v>
          </c:tx>
          <c:spPr>
            <a:ln w="28575">
              <a:solidFill>
                <a:srgbClr val="0070C0"/>
              </a:solidFill>
            </a:ln>
          </c:spPr>
          <c:marker>
            <c:symbol val="none"/>
          </c:marker>
          <c:xVal>
            <c:numRef>
              <c:f>Cage!$B$39:$B$48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Cage!$G$39:$G$48</c:f>
              <c:numCache>
                <c:formatCode>0.00</c:formatCode>
                <c:ptCount val="10"/>
                <c:pt idx="0">
                  <c:v>1.5</c:v>
                </c:pt>
                <c:pt idx="1">
                  <c:v>1.605706761877258</c:v>
                </c:pt>
                <c:pt idx="2">
                  <c:v>1.7185717880447475</c:v>
                </c:pt>
                <c:pt idx="3">
                  <c:v>1.8395673309856195</c:v>
                </c:pt>
                <c:pt idx="4">
                  <c:v>1.9663276117273785</c:v>
                </c:pt>
                <c:pt idx="5">
                  <c:v>2.0999471960461502</c:v>
                </c:pt>
                <c:pt idx="6">
                  <c:v>2.2414423366987233</c:v>
                </c:pt>
                <c:pt idx="7">
                  <c:v>2.3913172570232133</c:v>
                </c:pt>
                <c:pt idx="8" formatCode="0.0">
                  <c:v>2.549411735040735</c:v>
                </c:pt>
                <c:pt idx="9" formatCode="0.0">
                  <c:v>2.716137293953675</c:v>
                </c:pt>
              </c:numCache>
            </c:numRef>
          </c:yVal>
          <c:smooth val="0"/>
          <c:extLst xmlns:c16r2="http://schemas.microsoft.com/office/drawing/2015/06/chart">
            <c:ext xmlns:c16="http://schemas.microsoft.com/office/drawing/2014/chart" uri="{C3380CC4-5D6E-409C-BE32-E72D297353CC}">
              <c16:uniqueId val="{00000003-5372-4721-A03F-DB60965A086A}"/>
            </c:ext>
          </c:extLst>
        </c:ser>
        <c:dLbls>
          <c:showLegendKey val="0"/>
          <c:showVal val="0"/>
          <c:showCatName val="0"/>
          <c:showSerName val="0"/>
          <c:showPercent val="0"/>
          <c:showBubbleSize val="0"/>
        </c:dLbls>
        <c:axId val="104032512"/>
        <c:axId val="104031936"/>
      </c:scatterChart>
      <c:valAx>
        <c:axId val="104030784"/>
        <c:scaling>
          <c:orientation val="minMax"/>
        </c:scaling>
        <c:delete val="0"/>
        <c:axPos val="b"/>
        <c:title>
          <c:tx>
            <c:rich>
              <a:bodyPr/>
              <a:lstStyle/>
              <a:p>
                <a:pPr>
                  <a:defRPr sz="1400"/>
                </a:pPr>
                <a:r>
                  <a:rPr lang="en-US" sz="1400"/>
                  <a:t>Semaine d'engraissement</a:t>
                </a:r>
              </a:p>
            </c:rich>
          </c:tx>
          <c:overlay val="0"/>
        </c:title>
        <c:numFmt formatCode="General" sourceLinked="0"/>
        <c:majorTickMark val="out"/>
        <c:minorTickMark val="none"/>
        <c:tickLblPos val="nextTo"/>
        <c:txPr>
          <a:bodyPr rot="0" vert="horz"/>
          <a:lstStyle/>
          <a:p>
            <a:pPr>
              <a:defRPr/>
            </a:pPr>
            <a:endParaRPr lang="fr-FR"/>
          </a:p>
        </c:txPr>
        <c:crossAx val="104031360"/>
        <c:crosses val="autoZero"/>
        <c:crossBetween val="midCat"/>
      </c:valAx>
      <c:valAx>
        <c:axId val="104031360"/>
        <c:scaling>
          <c:orientation val="minMax"/>
        </c:scaling>
        <c:delete val="0"/>
        <c:axPos val="l"/>
        <c:title>
          <c:tx>
            <c:rich>
              <a:bodyPr rot="-5400000" vert="horz"/>
              <a:lstStyle/>
              <a:p>
                <a:pPr>
                  <a:defRPr sz="1400"/>
                </a:pPr>
                <a:r>
                  <a:rPr lang="en-US" sz="1400"/>
                  <a:t>Offre au pâturage et ingestion du lapin </a:t>
                </a:r>
              </a:p>
              <a:p>
                <a:pPr>
                  <a:defRPr sz="1400"/>
                </a:pPr>
                <a:r>
                  <a:rPr lang="en-US" sz="1400"/>
                  <a:t>(g MS/j/lapin)</a:t>
                </a:r>
              </a:p>
            </c:rich>
          </c:tx>
          <c:overlay val="0"/>
        </c:title>
        <c:numFmt formatCode="0" sourceLinked="0"/>
        <c:majorTickMark val="out"/>
        <c:minorTickMark val="none"/>
        <c:tickLblPos val="nextTo"/>
        <c:crossAx val="104030784"/>
        <c:crosses val="autoZero"/>
        <c:crossBetween val="midCat"/>
      </c:valAx>
      <c:valAx>
        <c:axId val="104031936"/>
        <c:scaling>
          <c:orientation val="minMax"/>
        </c:scaling>
        <c:delete val="0"/>
        <c:axPos val="r"/>
        <c:title>
          <c:tx>
            <c:rich>
              <a:bodyPr rot="-5400000" vert="horz"/>
              <a:lstStyle/>
              <a:p>
                <a:pPr>
                  <a:defRPr sz="1400"/>
                </a:pPr>
                <a:r>
                  <a:rPr lang="en-US" sz="1400"/>
                  <a:t>Poids vif du lapin (kg)</a:t>
                </a:r>
              </a:p>
            </c:rich>
          </c:tx>
          <c:overlay val="0"/>
        </c:title>
        <c:numFmt formatCode="0.00" sourceLinked="1"/>
        <c:majorTickMark val="out"/>
        <c:minorTickMark val="none"/>
        <c:tickLblPos val="nextTo"/>
        <c:crossAx val="104032512"/>
        <c:crosses val="max"/>
        <c:crossBetween val="midCat"/>
      </c:valAx>
      <c:valAx>
        <c:axId val="104032512"/>
        <c:scaling>
          <c:orientation val="minMax"/>
        </c:scaling>
        <c:delete val="1"/>
        <c:axPos val="b"/>
        <c:numFmt formatCode="General" sourceLinked="1"/>
        <c:majorTickMark val="out"/>
        <c:minorTickMark val="none"/>
        <c:tickLblPos val="nextTo"/>
        <c:crossAx val="104031936"/>
        <c:crosses val="autoZero"/>
        <c:crossBetween val="midCat"/>
      </c:valAx>
    </c:plotArea>
    <c:legend>
      <c:legendPos val="b"/>
      <c:overlay val="0"/>
      <c:txPr>
        <a:bodyPr/>
        <a:lstStyle/>
        <a:p>
          <a:pPr>
            <a:defRPr sz="1400" b="1"/>
          </a:pPr>
          <a:endParaRPr lang="fr-FR"/>
        </a:p>
      </c:txPr>
    </c:legend>
    <c:plotVisOnly val="1"/>
    <c:dispBlanksAs val="gap"/>
    <c:showDLblsOverMax val="0"/>
  </c:chart>
  <c:txPr>
    <a:bodyPr/>
    <a:lstStyle/>
    <a:p>
      <a:pPr>
        <a:defRPr sz="11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Consommation sur l'engraissement du lapin </a:t>
            </a:r>
          </a:p>
        </c:rich>
      </c:tx>
      <c:overlay val="0"/>
    </c:title>
    <c:autoTitleDeleted val="0"/>
    <c:plotArea>
      <c:layout/>
      <c:pieChart>
        <c:varyColors val="1"/>
        <c:ser>
          <c:idx val="0"/>
          <c:order val="0"/>
          <c:dLbls>
            <c:numFmt formatCode="General" sourceLinked="0"/>
            <c:spPr>
              <a:noFill/>
              <a:ln>
                <a:noFill/>
              </a:ln>
              <a:effectLst/>
            </c:spPr>
            <c:txPr>
              <a:bodyPr/>
              <a:lstStyle/>
              <a:p>
                <a:pPr>
                  <a:defRPr sz="1800"/>
                </a:pPr>
                <a:endParaRPr lang="fr-FR"/>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Cage!$AB$20:$AB$22</c:f>
              <c:strCache>
                <c:ptCount val="3"/>
                <c:pt idx="0">
                  <c:v>Granulé</c:v>
                </c:pt>
                <c:pt idx="1">
                  <c:v>Foin</c:v>
                </c:pt>
                <c:pt idx="2">
                  <c:v>Herbe</c:v>
                </c:pt>
              </c:strCache>
            </c:strRef>
          </c:cat>
          <c:val>
            <c:numRef>
              <c:f>Cage!$AC$20:$AC$22</c:f>
              <c:numCache>
                <c:formatCode>0.00</c:formatCode>
                <c:ptCount val="3"/>
                <c:pt idx="0">
                  <c:v>1.23956</c:v>
                </c:pt>
                <c:pt idx="1">
                  <c:v>0</c:v>
                </c:pt>
                <c:pt idx="2">
                  <c:v>4.4855660453716872</c:v>
                </c:pt>
              </c:numCache>
            </c:numRef>
          </c:val>
          <c:extLst xmlns:c16r2="http://schemas.microsoft.com/office/drawing/2015/06/chart">
            <c:ext xmlns:c16="http://schemas.microsoft.com/office/drawing/2014/chart" uri="{C3380CC4-5D6E-409C-BE32-E72D297353CC}">
              <c16:uniqueId val="{00000000-B6C9-4C29-BE5F-283EDEAD97FC}"/>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400" b="1"/>
          </a:pPr>
          <a:endParaRPr lang="fr-F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1850919347337"/>
          <c:y val="8.2048899292993777E-2"/>
          <c:w val="0.73191540021791868"/>
          <c:h val="0.65270339799038513"/>
        </c:manualLayout>
      </c:layout>
      <c:scatterChart>
        <c:scatterStyle val="lineMarker"/>
        <c:varyColors val="0"/>
        <c:ser>
          <c:idx val="1"/>
          <c:order val="0"/>
          <c:tx>
            <c:v>Offre au pâturage (g MS/j/lapin)</c:v>
          </c:tx>
          <c:spPr>
            <a:ln w="28575">
              <a:solidFill>
                <a:srgbClr val="00B050"/>
              </a:solidFill>
            </a:ln>
          </c:spPr>
          <c:marker>
            <c:symbol val="none"/>
          </c:marker>
          <c:xVal>
            <c:numRef>
              <c:f>Parc!$B$42:$B$51</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Parc!$K$42:$K$51</c:f>
              <c:numCache>
                <c:formatCode>0</c:formatCode>
                <c:ptCount val="10"/>
                <c:pt idx="0">
                  <c:v>5000</c:v>
                </c:pt>
                <c:pt idx="1">
                  <c:v>4570.2768258456399</c:v>
                </c:pt>
                <c:pt idx="2">
                  <c:v>4635.3290899306339</c:v>
                </c:pt>
                <c:pt idx="3">
                  <c:v>5429.0341431494107</c:v>
                </c:pt>
                <c:pt idx="4">
                  <c:v>5820.793317788457</c:v>
                </c:pt>
                <c:pt idx="5">
                  <c:v>5437.5257671566342</c:v>
                </c:pt>
                <c:pt idx="6">
                  <c:v>4965.7839805494086</c:v>
                </c:pt>
                <c:pt idx="7">
                  <c:v>4960.3701035597633</c:v>
                </c:pt>
                <c:pt idx="8">
                  <c:v>5467.6345984458476</c:v>
                </c:pt>
                <c:pt idx="9">
                  <c:v>5433.5608523672399</c:v>
                </c:pt>
              </c:numCache>
            </c:numRef>
          </c:yVal>
          <c:smooth val="0"/>
          <c:extLst xmlns:c16r2="http://schemas.microsoft.com/office/drawing/2015/06/chart">
            <c:ext xmlns:c16="http://schemas.microsoft.com/office/drawing/2014/chart" uri="{C3380CC4-5D6E-409C-BE32-E72D297353CC}">
              <c16:uniqueId val="{00000000-5372-4721-A03F-DB60965A086A}"/>
            </c:ext>
          </c:extLst>
        </c:ser>
        <c:ser>
          <c:idx val="2"/>
          <c:order val="1"/>
          <c:tx>
            <c:v>Ingestion d'herbe (g MS/j/lapin)</c:v>
          </c:tx>
          <c:spPr>
            <a:ln w="28575">
              <a:solidFill>
                <a:srgbClr val="92D050"/>
              </a:solidFill>
            </a:ln>
          </c:spPr>
          <c:marker>
            <c:symbol val="none"/>
          </c:marker>
          <c:xVal>
            <c:numRef>
              <c:f>Parc!$B$42:$B$51</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Parc!$U$42:$U$51</c:f>
              <c:numCache>
                <c:formatCode>0.0</c:formatCode>
                <c:ptCount val="10"/>
                <c:pt idx="0">
                  <c:v>61.389024879194309</c:v>
                </c:pt>
                <c:pt idx="1">
                  <c:v>56.925806415438544</c:v>
                </c:pt>
                <c:pt idx="2">
                  <c:v>53.067468676140443</c:v>
                </c:pt>
                <c:pt idx="3">
                  <c:v>48.978272790216081</c:v>
                </c:pt>
                <c:pt idx="4">
                  <c:v>37.851504339870502</c:v>
                </c:pt>
                <c:pt idx="5">
                  <c:v>45.435010280619416</c:v>
                </c:pt>
                <c:pt idx="6">
                  <c:v>47.895261624539351</c:v>
                </c:pt>
                <c:pt idx="7">
                  <c:v>50.252569665319804</c:v>
                </c:pt>
                <c:pt idx="8">
                  <c:v>53.001604050533658</c:v>
                </c:pt>
                <c:pt idx="9">
                  <c:v>55.73100997470452</c:v>
                </c:pt>
              </c:numCache>
            </c:numRef>
          </c:yVal>
          <c:smooth val="0"/>
          <c:extLst xmlns:c16r2="http://schemas.microsoft.com/office/drawing/2015/06/chart">
            <c:ext xmlns:c16="http://schemas.microsoft.com/office/drawing/2014/chart" uri="{C3380CC4-5D6E-409C-BE32-E72D297353CC}">
              <c16:uniqueId val="{00000001-5372-4721-A03F-DB60965A086A}"/>
            </c:ext>
          </c:extLst>
        </c:ser>
        <c:ser>
          <c:idx val="3"/>
          <c:order val="2"/>
          <c:tx>
            <c:v>Ingestion totale (g MS/j/lapin)</c:v>
          </c:tx>
          <c:spPr>
            <a:ln w="28575">
              <a:solidFill>
                <a:schemeClr val="accent6">
                  <a:lumMod val="75000"/>
                </a:schemeClr>
              </a:solidFill>
            </a:ln>
          </c:spPr>
          <c:marker>
            <c:symbol val="none"/>
          </c:marker>
          <c:xVal>
            <c:numRef>
              <c:f>Parc!$B$42:$B$51</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Parc!$X$42:$X$51</c:f>
              <c:numCache>
                <c:formatCode>0.0</c:formatCode>
                <c:ptCount val="10"/>
                <c:pt idx="0">
                  <c:v>132.22102487919432</c:v>
                </c:pt>
                <c:pt idx="1">
                  <c:v>127.75780641543854</c:v>
                </c:pt>
                <c:pt idx="2">
                  <c:v>123.89946867614043</c:v>
                </c:pt>
                <c:pt idx="3">
                  <c:v>119.81027279021608</c:v>
                </c:pt>
                <c:pt idx="4">
                  <c:v>108.6835043398705</c:v>
                </c:pt>
                <c:pt idx="5">
                  <c:v>116.26701028061942</c:v>
                </c:pt>
                <c:pt idx="6">
                  <c:v>118.72726162453935</c:v>
                </c:pt>
                <c:pt idx="7">
                  <c:v>121.0845696653198</c:v>
                </c:pt>
                <c:pt idx="8">
                  <c:v>123.83360405053365</c:v>
                </c:pt>
                <c:pt idx="9">
                  <c:v>126.56300997470451</c:v>
                </c:pt>
              </c:numCache>
            </c:numRef>
          </c:yVal>
          <c:smooth val="0"/>
          <c:extLst xmlns:c16r2="http://schemas.microsoft.com/office/drawing/2015/06/chart">
            <c:ext xmlns:c16="http://schemas.microsoft.com/office/drawing/2014/chart" uri="{C3380CC4-5D6E-409C-BE32-E72D297353CC}">
              <c16:uniqueId val="{00000002-5372-4721-A03F-DB60965A086A}"/>
            </c:ext>
          </c:extLst>
        </c:ser>
        <c:dLbls>
          <c:showLegendKey val="0"/>
          <c:showVal val="0"/>
          <c:showCatName val="0"/>
          <c:showSerName val="0"/>
          <c:showPercent val="0"/>
          <c:showBubbleSize val="0"/>
        </c:dLbls>
        <c:axId val="104035968"/>
        <c:axId val="104036544"/>
      </c:scatterChart>
      <c:scatterChart>
        <c:scatterStyle val="lineMarker"/>
        <c:varyColors val="0"/>
        <c:ser>
          <c:idx val="0"/>
          <c:order val="3"/>
          <c:tx>
            <c:v>Poids vif (kg)</c:v>
          </c:tx>
          <c:spPr>
            <a:ln w="28575">
              <a:solidFill>
                <a:srgbClr val="0070C0"/>
              </a:solidFill>
            </a:ln>
          </c:spPr>
          <c:marker>
            <c:symbol val="none"/>
          </c:marker>
          <c:xVal>
            <c:numRef>
              <c:f>Parc!$B$42:$B$51</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Parc!$G$42:$G$51</c:f>
              <c:numCache>
                <c:formatCode>0.00</c:formatCode>
                <c:ptCount val="10"/>
                <c:pt idx="0">
                  <c:v>1.3</c:v>
                </c:pt>
                <c:pt idx="1">
                  <c:v>1.3983833893749125</c:v>
                </c:pt>
                <c:pt idx="2">
                  <c:v>1.5029909288491556</c:v>
                </c:pt>
                <c:pt idx="3">
                  <c:v>1.6142694131148962</c:v>
                </c:pt>
                <c:pt idx="4">
                  <c:v>1.7323800865780665</c:v>
                </c:pt>
                <c:pt idx="5">
                  <c:v>1.8562670743766683</c:v>
                </c:pt>
                <c:pt idx="6">
                  <c:v>1.9905369749958906</c:v>
                </c:pt>
                <c:pt idx="7">
                  <c:v>2.1347548314748592</c:v>
                </c:pt>
                <c:pt idx="8" formatCode="0.0">
                  <c:v>2.2896099987908558</c:v>
                </c:pt>
                <c:pt idx="9" formatCode="0.0">
                  <c:v>2.4562162272672783</c:v>
                </c:pt>
              </c:numCache>
            </c:numRef>
          </c:yVal>
          <c:smooth val="0"/>
          <c:extLst xmlns:c16r2="http://schemas.microsoft.com/office/drawing/2015/06/chart">
            <c:ext xmlns:c16="http://schemas.microsoft.com/office/drawing/2014/chart" uri="{C3380CC4-5D6E-409C-BE32-E72D297353CC}">
              <c16:uniqueId val="{00000003-5372-4721-A03F-DB60965A086A}"/>
            </c:ext>
          </c:extLst>
        </c:ser>
        <c:dLbls>
          <c:showLegendKey val="0"/>
          <c:showVal val="0"/>
          <c:showCatName val="0"/>
          <c:showSerName val="0"/>
          <c:showPercent val="0"/>
          <c:showBubbleSize val="0"/>
        </c:dLbls>
        <c:axId val="104037696"/>
        <c:axId val="104037120"/>
      </c:scatterChart>
      <c:valAx>
        <c:axId val="104035968"/>
        <c:scaling>
          <c:orientation val="minMax"/>
        </c:scaling>
        <c:delete val="0"/>
        <c:axPos val="b"/>
        <c:title>
          <c:tx>
            <c:rich>
              <a:bodyPr/>
              <a:lstStyle/>
              <a:p>
                <a:pPr>
                  <a:defRPr sz="1400"/>
                </a:pPr>
                <a:r>
                  <a:rPr lang="en-US" sz="1400"/>
                  <a:t>Semaine d'engraissement</a:t>
                </a:r>
              </a:p>
            </c:rich>
          </c:tx>
          <c:overlay val="0"/>
        </c:title>
        <c:numFmt formatCode="General" sourceLinked="0"/>
        <c:majorTickMark val="out"/>
        <c:minorTickMark val="none"/>
        <c:tickLblPos val="nextTo"/>
        <c:txPr>
          <a:bodyPr rot="0" vert="horz"/>
          <a:lstStyle/>
          <a:p>
            <a:pPr>
              <a:defRPr/>
            </a:pPr>
            <a:endParaRPr lang="fr-FR"/>
          </a:p>
        </c:txPr>
        <c:crossAx val="104036544"/>
        <c:crosses val="autoZero"/>
        <c:crossBetween val="midCat"/>
      </c:valAx>
      <c:valAx>
        <c:axId val="104036544"/>
        <c:scaling>
          <c:orientation val="minMax"/>
        </c:scaling>
        <c:delete val="0"/>
        <c:axPos val="l"/>
        <c:title>
          <c:tx>
            <c:rich>
              <a:bodyPr rot="-5400000" vert="horz"/>
              <a:lstStyle/>
              <a:p>
                <a:pPr>
                  <a:defRPr sz="1400"/>
                </a:pPr>
                <a:r>
                  <a:rPr lang="en-US" sz="1400"/>
                  <a:t>Offre au pâturage et ingestion du lapin </a:t>
                </a:r>
              </a:p>
              <a:p>
                <a:pPr>
                  <a:defRPr sz="1400"/>
                </a:pPr>
                <a:r>
                  <a:rPr lang="en-US" sz="1400"/>
                  <a:t>(g MS/j/lapin)</a:t>
                </a:r>
              </a:p>
            </c:rich>
          </c:tx>
          <c:overlay val="0"/>
        </c:title>
        <c:numFmt formatCode="0" sourceLinked="0"/>
        <c:majorTickMark val="out"/>
        <c:minorTickMark val="none"/>
        <c:tickLblPos val="nextTo"/>
        <c:crossAx val="104035968"/>
        <c:crosses val="autoZero"/>
        <c:crossBetween val="midCat"/>
      </c:valAx>
      <c:valAx>
        <c:axId val="104037120"/>
        <c:scaling>
          <c:orientation val="minMax"/>
        </c:scaling>
        <c:delete val="0"/>
        <c:axPos val="r"/>
        <c:title>
          <c:tx>
            <c:rich>
              <a:bodyPr rot="-5400000" vert="horz"/>
              <a:lstStyle/>
              <a:p>
                <a:pPr>
                  <a:defRPr sz="1400"/>
                </a:pPr>
                <a:r>
                  <a:rPr lang="en-US" sz="1400"/>
                  <a:t>Poids vif du lapin (kg)</a:t>
                </a:r>
              </a:p>
            </c:rich>
          </c:tx>
          <c:overlay val="0"/>
        </c:title>
        <c:numFmt formatCode="0.00" sourceLinked="1"/>
        <c:majorTickMark val="out"/>
        <c:minorTickMark val="none"/>
        <c:tickLblPos val="nextTo"/>
        <c:crossAx val="104037696"/>
        <c:crosses val="max"/>
        <c:crossBetween val="midCat"/>
      </c:valAx>
      <c:valAx>
        <c:axId val="104037696"/>
        <c:scaling>
          <c:orientation val="minMax"/>
        </c:scaling>
        <c:delete val="1"/>
        <c:axPos val="b"/>
        <c:numFmt formatCode="General" sourceLinked="1"/>
        <c:majorTickMark val="out"/>
        <c:minorTickMark val="none"/>
        <c:tickLblPos val="nextTo"/>
        <c:crossAx val="104037120"/>
        <c:crosses val="autoZero"/>
        <c:crossBetween val="midCat"/>
      </c:valAx>
    </c:plotArea>
    <c:legend>
      <c:legendPos val="b"/>
      <c:overlay val="0"/>
      <c:txPr>
        <a:bodyPr/>
        <a:lstStyle/>
        <a:p>
          <a:pPr>
            <a:defRPr sz="1400" b="1"/>
          </a:pPr>
          <a:endParaRPr lang="fr-FR"/>
        </a:p>
      </c:txPr>
    </c:legend>
    <c:plotVisOnly val="1"/>
    <c:dispBlanksAs val="gap"/>
    <c:showDLblsOverMax val="0"/>
  </c:chart>
  <c:txPr>
    <a:bodyPr/>
    <a:lstStyle/>
    <a:p>
      <a:pPr>
        <a:defRPr sz="11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Consommation sur l'engraissement du lapin </a:t>
            </a:r>
          </a:p>
        </c:rich>
      </c:tx>
      <c:overlay val="0"/>
    </c:title>
    <c:autoTitleDeleted val="0"/>
    <c:plotArea>
      <c:layout/>
      <c:pieChart>
        <c:varyColors val="1"/>
        <c:ser>
          <c:idx val="0"/>
          <c:order val="0"/>
          <c:dLbls>
            <c:numFmt formatCode="General" sourceLinked="0"/>
            <c:spPr>
              <a:noFill/>
              <a:ln>
                <a:noFill/>
              </a:ln>
              <a:effectLst/>
            </c:spPr>
            <c:txPr>
              <a:bodyPr/>
              <a:lstStyle/>
              <a:p>
                <a:pPr>
                  <a:defRPr sz="1800"/>
                </a:pPr>
                <a:endParaRPr lang="fr-FR"/>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Parc!$AC$20:$AC$22</c:f>
              <c:strCache>
                <c:ptCount val="3"/>
                <c:pt idx="0">
                  <c:v>Granulé</c:v>
                </c:pt>
                <c:pt idx="1">
                  <c:v>Foin</c:v>
                </c:pt>
                <c:pt idx="2">
                  <c:v>Herbe</c:v>
                </c:pt>
              </c:strCache>
            </c:strRef>
          </c:cat>
          <c:val>
            <c:numRef>
              <c:f>Parc!$AD$20:$AD$22</c:f>
              <c:numCache>
                <c:formatCode>0.00</c:formatCode>
                <c:ptCount val="3"/>
                <c:pt idx="0">
                  <c:v>4.95824</c:v>
                </c:pt>
                <c:pt idx="1">
                  <c:v>0</c:v>
                </c:pt>
                <c:pt idx="2">
                  <c:v>3.5736927288760367</c:v>
                </c:pt>
              </c:numCache>
            </c:numRef>
          </c:val>
          <c:extLst xmlns:c16r2="http://schemas.microsoft.com/office/drawing/2015/06/chart">
            <c:ext xmlns:c16="http://schemas.microsoft.com/office/drawing/2014/chart" uri="{C3380CC4-5D6E-409C-BE32-E72D297353CC}">
              <c16:uniqueId val="{00000000-CB8B-4BFE-9E8E-A8E8EAC3419D}"/>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sz="1400" b="1"/>
          </a:pPr>
          <a:endParaRPr lang="fr-F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Parc!A1"/><Relationship Id="rId5" Type="http://schemas.openxmlformats.org/officeDocument/2006/relationships/image" Target="../media/image4.jpeg"/><Relationship Id="rId4" Type="http://schemas.openxmlformats.org/officeDocument/2006/relationships/hyperlink" Target="#Cage!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8</xdr:col>
      <xdr:colOff>471482</xdr:colOff>
      <xdr:row>1</xdr:row>
      <xdr:rowOff>142875</xdr:rowOff>
    </xdr:from>
    <xdr:to>
      <xdr:col>12</xdr:col>
      <xdr:colOff>58140</xdr:colOff>
      <xdr:row>7</xdr:row>
      <xdr:rowOff>51300</xdr:rowOff>
    </xdr:to>
    <xdr:pic>
      <xdr:nvPicPr>
        <xdr:cNvPr id="4" name="Image 3" descr="Résultat de recherche d'images pour &quot;inra&quot;"/>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7482" y="547688"/>
          <a:ext cx="2634658" cy="108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61908</xdr:colOff>
      <xdr:row>1</xdr:row>
      <xdr:rowOff>142875</xdr:rowOff>
    </xdr:from>
    <xdr:to>
      <xdr:col>17</xdr:col>
      <xdr:colOff>33293</xdr:colOff>
      <xdr:row>7</xdr:row>
      <xdr:rowOff>51300</xdr:rowOff>
    </xdr:to>
    <xdr:pic>
      <xdr:nvPicPr>
        <xdr:cNvPr id="5" name="Image 4" descr="Résultat de recherche d'images pour &quot;aelbf&quot;"/>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1908" y="547688"/>
          <a:ext cx="1495385" cy="108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509582</xdr:colOff>
      <xdr:row>1</xdr:row>
      <xdr:rowOff>142875</xdr:rowOff>
    </xdr:from>
    <xdr:to>
      <xdr:col>14</xdr:col>
      <xdr:colOff>377120</xdr:colOff>
      <xdr:row>7</xdr:row>
      <xdr:rowOff>51300</xdr:rowOff>
    </xdr:to>
    <xdr:pic>
      <xdr:nvPicPr>
        <xdr:cNvPr id="6" name="Image 5" descr="institut universitaire de technologie de Perpigna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53582" y="547688"/>
          <a:ext cx="1391538" cy="108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xdr:row>
      <xdr:rowOff>133350</xdr:rowOff>
    </xdr:from>
    <xdr:to>
      <xdr:col>9</xdr:col>
      <xdr:colOff>342900</xdr:colOff>
      <xdr:row>40</xdr:row>
      <xdr:rowOff>8850</xdr:rowOff>
    </xdr:to>
    <xdr:grpSp>
      <xdr:nvGrpSpPr>
        <xdr:cNvPr id="9" name="Groupe 8">
          <a:hlinkClick xmlns:r="http://schemas.openxmlformats.org/officeDocument/2006/relationships" r:id="rId4"/>
        </xdr:cNvPr>
        <xdr:cNvGrpSpPr/>
      </xdr:nvGrpSpPr>
      <xdr:grpSpPr>
        <a:xfrm>
          <a:off x="0" y="2705100"/>
          <a:ext cx="7200900" cy="5400000"/>
          <a:chOff x="0" y="2476500"/>
          <a:chExt cx="7200900" cy="5400000"/>
        </a:xfrm>
      </xdr:grpSpPr>
      <xdr:pic macro="[0]!Groupe8_Cliquer">
        <xdr:nvPicPr>
          <xdr:cNvPr id="2" name="Image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476500"/>
            <a:ext cx="7200000" cy="5400000"/>
          </a:xfrm>
          <a:prstGeom prst="rect">
            <a:avLst/>
          </a:prstGeom>
        </xdr:spPr>
      </xdr:pic>
      <xdr:sp macro="[0]!Groupe8_Cliquer" textlink="">
        <xdr:nvSpPr>
          <xdr:cNvPr id="7" name="ZoneTexte 6"/>
          <xdr:cNvSpPr txBox="1"/>
        </xdr:nvSpPr>
        <xdr:spPr>
          <a:xfrm>
            <a:off x="0" y="2600325"/>
            <a:ext cx="720090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a:t>Je souhaite simuler un système</a:t>
            </a:r>
            <a:r>
              <a:rPr lang="fr-FR" sz="2000" baseline="0"/>
              <a:t> en cages mobiles</a:t>
            </a:r>
            <a:endParaRPr lang="fr-FR" sz="2000"/>
          </a:p>
        </xdr:txBody>
      </xdr:sp>
    </xdr:grpSp>
    <xdr:clientData/>
  </xdr:twoCellAnchor>
  <xdr:twoCellAnchor>
    <xdr:from>
      <xdr:col>10</xdr:col>
      <xdr:colOff>0</xdr:colOff>
      <xdr:row>11</xdr:row>
      <xdr:rowOff>142875</xdr:rowOff>
    </xdr:from>
    <xdr:to>
      <xdr:col>19</xdr:col>
      <xdr:colOff>351525</xdr:colOff>
      <xdr:row>40</xdr:row>
      <xdr:rowOff>18375</xdr:rowOff>
    </xdr:to>
    <xdr:grpSp>
      <xdr:nvGrpSpPr>
        <xdr:cNvPr id="10" name="Groupe 9">
          <a:hlinkClick xmlns:r="http://schemas.openxmlformats.org/officeDocument/2006/relationships" r:id="rId6"/>
        </xdr:cNvPr>
        <xdr:cNvGrpSpPr/>
      </xdr:nvGrpSpPr>
      <xdr:grpSpPr>
        <a:xfrm>
          <a:off x="7620000" y="2714625"/>
          <a:ext cx="7209525" cy="5400000"/>
          <a:chOff x="7620000" y="2486025"/>
          <a:chExt cx="7209525" cy="5400000"/>
        </a:xfrm>
      </xdr:grpSpPr>
      <xdr:pic>
        <xdr:nvPicPr>
          <xdr:cNvPr id="3" name="Image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9525" y="2486025"/>
            <a:ext cx="7200000" cy="5400000"/>
          </a:xfrm>
          <a:prstGeom prst="rect">
            <a:avLst/>
          </a:prstGeom>
        </xdr:spPr>
      </xdr:pic>
      <xdr:sp macro="" textlink="">
        <xdr:nvSpPr>
          <xdr:cNvPr id="8" name="ZoneTexte 7"/>
          <xdr:cNvSpPr txBox="1"/>
        </xdr:nvSpPr>
        <xdr:spPr>
          <a:xfrm>
            <a:off x="7620000" y="2609850"/>
            <a:ext cx="720090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2000"/>
              <a:t>Je souhaite simuler un système</a:t>
            </a:r>
            <a:r>
              <a:rPr lang="fr-FR" sz="2000" baseline="0"/>
              <a:t> en parcs</a:t>
            </a:r>
            <a:endParaRPr lang="fr-FR" sz="20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45946</xdr:colOff>
      <xdr:row>3</xdr:row>
      <xdr:rowOff>39408</xdr:rowOff>
    </xdr:from>
    <xdr:to>
      <xdr:col>26</xdr:col>
      <xdr:colOff>50614</xdr:colOff>
      <xdr:row>29</xdr:row>
      <xdr:rowOff>28947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2801</xdr:colOff>
      <xdr:row>3</xdr:row>
      <xdr:rowOff>73585</xdr:rowOff>
    </xdr:from>
    <xdr:to>
      <xdr:col>31</xdr:col>
      <xdr:colOff>863039</xdr:colOff>
      <xdr:row>15</xdr:row>
      <xdr:rowOff>214966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855571</xdr:colOff>
      <xdr:row>3</xdr:row>
      <xdr:rowOff>23533</xdr:rowOff>
    </xdr:from>
    <xdr:to>
      <xdr:col>27</xdr:col>
      <xdr:colOff>2989</xdr:colOff>
      <xdr:row>29</xdr:row>
      <xdr:rowOff>13072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809625</xdr:colOff>
      <xdr:row>2</xdr:row>
      <xdr:rowOff>196850</xdr:rowOff>
    </xdr:from>
    <xdr:to>
      <xdr:col>32</xdr:col>
      <xdr:colOff>739775</xdr:colOff>
      <xdr:row>15</xdr:row>
      <xdr:rowOff>136525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hierry.gidenne@inra.fr" TargetMode="External"/><Relationship Id="rId1" Type="http://schemas.openxmlformats.org/officeDocument/2006/relationships/hyperlink" Target="mailto:guillaume.martin@inra.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F232"/>
  <sheetViews>
    <sheetView tabSelected="1" zoomScale="80" zoomScaleNormal="80" workbookViewId="0">
      <selection activeCell="F9" sqref="F9"/>
    </sheetView>
  </sheetViews>
  <sheetFormatPr baseColWidth="10" defaultRowHeight="15" x14ac:dyDescent="0.25"/>
  <sheetData>
    <row r="1" spans="1:32" ht="31.5" x14ac:dyDescent="0.5">
      <c r="A1" s="238" t="s">
        <v>165</v>
      </c>
      <c r="B1" s="102"/>
      <c r="C1" s="102"/>
      <c r="D1" s="102"/>
      <c r="E1" s="102"/>
      <c r="F1" s="102"/>
      <c r="G1" s="102"/>
      <c r="H1" s="102"/>
      <c r="I1" s="102"/>
      <c r="J1" s="102"/>
      <c r="K1" s="102"/>
      <c r="L1" s="102"/>
      <c r="M1" s="102"/>
      <c r="N1" s="102"/>
      <c r="O1" s="102"/>
      <c r="P1" s="102"/>
      <c r="Q1" s="102"/>
      <c r="R1" s="102"/>
      <c r="S1" s="102"/>
      <c r="T1" s="2"/>
      <c r="U1" s="2"/>
      <c r="V1" s="2"/>
      <c r="W1" s="2"/>
      <c r="X1" s="2"/>
      <c r="Y1" s="2"/>
      <c r="Z1" s="2"/>
      <c r="AA1" s="2"/>
      <c r="AB1" s="2"/>
      <c r="AC1" s="2"/>
      <c r="AD1" s="2"/>
      <c r="AE1" s="2"/>
      <c r="AF1" s="2"/>
    </row>
    <row r="2" spans="1:32" x14ac:dyDescent="0.25">
      <c r="A2" s="102"/>
      <c r="B2" s="102"/>
      <c r="C2" s="102"/>
      <c r="D2" s="102"/>
      <c r="E2" s="102"/>
      <c r="F2" s="102"/>
      <c r="G2" s="102"/>
      <c r="H2" s="102"/>
      <c r="I2" s="102"/>
      <c r="J2" s="102"/>
      <c r="K2" s="102"/>
      <c r="L2" s="102"/>
      <c r="M2" s="102"/>
      <c r="N2" s="102"/>
      <c r="O2" s="102"/>
      <c r="P2" s="102"/>
      <c r="Q2" s="102"/>
      <c r="R2" s="102"/>
      <c r="S2" s="102"/>
      <c r="T2" s="2"/>
      <c r="U2" s="2"/>
      <c r="V2" s="2"/>
      <c r="W2" s="2"/>
      <c r="X2" s="2"/>
      <c r="Y2" s="2"/>
      <c r="Z2" s="2"/>
      <c r="AA2" s="2"/>
      <c r="AB2" s="2"/>
      <c r="AC2" s="2"/>
      <c r="AD2" s="2"/>
      <c r="AE2" s="2"/>
      <c r="AF2" s="2"/>
    </row>
    <row r="3" spans="1:32" ht="15.75" x14ac:dyDescent="0.25">
      <c r="A3" s="239" t="s">
        <v>170</v>
      </c>
      <c r="B3" s="239"/>
      <c r="C3" s="239"/>
      <c r="D3" s="239"/>
      <c r="E3" s="239"/>
      <c r="F3" s="239"/>
      <c r="G3" s="102"/>
      <c r="H3" s="102"/>
      <c r="I3" s="102"/>
      <c r="J3" s="102"/>
      <c r="K3" s="102"/>
      <c r="L3" s="102"/>
      <c r="M3" s="102"/>
      <c r="N3" s="102"/>
      <c r="O3" s="102"/>
      <c r="P3" s="102"/>
      <c r="Q3" s="102"/>
      <c r="R3" s="102"/>
      <c r="S3" s="102"/>
      <c r="T3" s="2"/>
      <c r="U3" s="2"/>
      <c r="V3" s="2"/>
      <c r="W3" s="2"/>
      <c r="X3" s="2"/>
      <c r="Y3" s="2"/>
      <c r="Z3" s="2"/>
      <c r="AA3" s="2"/>
      <c r="AB3" s="2"/>
      <c r="AC3" s="2"/>
      <c r="AD3" s="2"/>
      <c r="AE3" s="2"/>
      <c r="AF3" s="2"/>
    </row>
    <row r="4" spans="1:32" ht="15.75" x14ac:dyDescent="0.25">
      <c r="A4" s="239" t="s">
        <v>166</v>
      </c>
      <c r="B4" s="240" t="s">
        <v>167</v>
      </c>
      <c r="C4" s="239"/>
      <c r="D4" s="239"/>
      <c r="E4" s="240" t="s">
        <v>168</v>
      </c>
      <c r="F4" s="239"/>
      <c r="G4" s="102"/>
      <c r="H4" s="102"/>
      <c r="I4" s="102"/>
      <c r="J4" s="102"/>
      <c r="K4" s="102"/>
      <c r="L4" s="102"/>
      <c r="M4" s="102"/>
      <c r="N4" s="102"/>
      <c r="O4" s="102"/>
      <c r="P4" s="102"/>
      <c r="Q4" s="102"/>
      <c r="R4" s="102"/>
      <c r="S4" s="102"/>
      <c r="T4" s="2"/>
      <c r="U4" s="2"/>
      <c r="V4" s="2"/>
      <c r="W4" s="2"/>
      <c r="X4" s="2"/>
      <c r="Y4" s="2"/>
      <c r="Z4" s="2"/>
      <c r="AA4" s="2"/>
      <c r="AB4" s="2"/>
      <c r="AC4" s="2"/>
      <c r="AD4" s="2"/>
      <c r="AE4" s="2"/>
      <c r="AF4" s="2"/>
    </row>
    <row r="5" spans="1:32" x14ac:dyDescent="0.25">
      <c r="A5" s="2" t="s">
        <v>169</v>
      </c>
      <c r="B5" s="102"/>
      <c r="C5" s="102"/>
      <c r="D5" s="102"/>
      <c r="E5" s="102"/>
      <c r="F5" s="102"/>
      <c r="G5" s="102"/>
      <c r="H5" s="102"/>
      <c r="I5" s="102"/>
      <c r="J5" s="102"/>
      <c r="K5" s="102"/>
      <c r="L5" s="102"/>
      <c r="M5" s="102"/>
      <c r="N5" s="102"/>
      <c r="O5" s="102"/>
      <c r="P5" s="102"/>
      <c r="Q5" s="102"/>
      <c r="R5" s="102"/>
      <c r="S5" s="102"/>
      <c r="T5" s="2"/>
      <c r="U5" s="2"/>
      <c r="V5" s="2"/>
      <c r="W5" s="2"/>
      <c r="X5" s="2"/>
      <c r="Y5" s="2"/>
      <c r="Z5" s="2"/>
      <c r="AA5" s="2"/>
      <c r="AB5" s="2"/>
      <c r="AC5" s="2"/>
      <c r="AD5" s="2"/>
      <c r="AE5" s="2"/>
      <c r="AF5" s="2"/>
    </row>
    <row r="6" spans="1:32" x14ac:dyDescent="0.25">
      <c r="A6" s="102"/>
      <c r="B6" s="102"/>
      <c r="C6" s="102"/>
      <c r="D6" s="102"/>
      <c r="E6" s="102"/>
      <c r="F6" s="102"/>
      <c r="G6" s="102"/>
      <c r="H6" s="102"/>
      <c r="I6" s="102"/>
      <c r="J6" s="102"/>
      <c r="K6" s="102"/>
      <c r="L6" s="102"/>
      <c r="M6" s="102"/>
      <c r="N6" s="102"/>
      <c r="O6" s="102"/>
      <c r="P6" s="102"/>
      <c r="Q6" s="102"/>
      <c r="R6" s="102"/>
      <c r="S6" s="102"/>
      <c r="T6" s="2"/>
      <c r="U6" s="2"/>
      <c r="V6" s="2"/>
      <c r="W6" s="2"/>
      <c r="X6" s="2"/>
      <c r="Y6" s="2"/>
      <c r="Z6" s="2"/>
      <c r="AA6" s="2"/>
      <c r="AB6" s="2"/>
      <c r="AC6" s="2"/>
      <c r="AD6" s="2"/>
      <c r="AE6" s="2"/>
      <c r="AF6" s="2"/>
    </row>
    <row r="7" spans="1:32" ht="15.75" x14ac:dyDescent="0.25">
      <c r="A7" s="241" t="s">
        <v>57</v>
      </c>
      <c r="B7" s="102"/>
      <c r="C7" s="102"/>
      <c r="D7" s="102"/>
      <c r="E7" s="102"/>
      <c r="F7" s="102"/>
      <c r="G7" s="102"/>
      <c r="H7" s="102"/>
      <c r="I7" s="102"/>
      <c r="J7" s="102"/>
      <c r="K7" s="102"/>
      <c r="L7" s="102"/>
      <c r="M7" s="102"/>
      <c r="N7" s="102"/>
      <c r="O7" s="102"/>
      <c r="P7" s="102"/>
      <c r="Q7" s="102"/>
      <c r="R7" s="102"/>
      <c r="S7" s="102"/>
      <c r="T7" s="2"/>
      <c r="U7" s="2"/>
      <c r="V7" s="2"/>
      <c r="W7" s="2"/>
      <c r="X7" s="2"/>
      <c r="Y7" s="2"/>
      <c r="Z7" s="2"/>
      <c r="AA7" s="2"/>
      <c r="AB7" s="2"/>
      <c r="AC7" s="2"/>
      <c r="AD7" s="2"/>
      <c r="AE7" s="2"/>
      <c r="AF7" s="2"/>
    </row>
    <row r="8" spans="1:32" x14ac:dyDescent="0.25">
      <c r="A8" s="242"/>
      <c r="B8" s="102" t="s">
        <v>56</v>
      </c>
      <c r="C8" s="102"/>
      <c r="D8" s="243"/>
      <c r="E8" s="102" t="s">
        <v>20</v>
      </c>
      <c r="F8" s="102"/>
      <c r="G8" s="102"/>
      <c r="H8" s="102"/>
      <c r="I8" s="102"/>
      <c r="J8" s="102"/>
      <c r="K8" s="102"/>
      <c r="L8" s="102"/>
      <c r="M8" s="102"/>
      <c r="N8" s="102"/>
      <c r="O8" s="102"/>
      <c r="P8" s="102"/>
      <c r="Q8" s="102"/>
      <c r="R8" s="102"/>
      <c r="S8" s="102"/>
      <c r="T8" s="2"/>
      <c r="U8" s="2"/>
      <c r="V8" s="2"/>
      <c r="W8" s="2"/>
      <c r="X8" s="2"/>
      <c r="Y8" s="2"/>
      <c r="Z8" s="2"/>
      <c r="AA8" s="2"/>
      <c r="AB8" s="2"/>
      <c r="AC8" s="2"/>
      <c r="AD8" s="2"/>
      <c r="AE8" s="2"/>
      <c r="AF8" s="2"/>
    </row>
    <row r="9" spans="1:32" x14ac:dyDescent="0.25">
      <c r="A9" s="102"/>
      <c r="B9" s="102"/>
      <c r="C9" s="102"/>
      <c r="D9" s="102"/>
      <c r="E9" s="102"/>
      <c r="F9" s="102"/>
      <c r="G9" s="102"/>
      <c r="H9" s="102"/>
      <c r="I9" s="102"/>
      <c r="J9" s="102"/>
      <c r="K9" s="102"/>
      <c r="L9" s="102"/>
      <c r="M9" s="102"/>
      <c r="N9" s="102"/>
      <c r="O9" s="102"/>
      <c r="P9" s="102"/>
      <c r="Q9" s="102"/>
      <c r="R9" s="102"/>
      <c r="S9" s="102"/>
      <c r="T9" s="2"/>
      <c r="U9" s="2"/>
      <c r="V9" s="2"/>
      <c r="W9" s="2"/>
      <c r="X9" s="2"/>
      <c r="Y9" s="2"/>
      <c r="Z9" s="2"/>
      <c r="AA9" s="2"/>
      <c r="AB9" s="2"/>
      <c r="AC9" s="2"/>
      <c r="AD9" s="2"/>
      <c r="AE9" s="2"/>
      <c r="AF9" s="2"/>
    </row>
    <row r="10" spans="1:32" ht="15.75" x14ac:dyDescent="0.25">
      <c r="A10" s="241" t="s">
        <v>164</v>
      </c>
      <c r="B10" s="102"/>
      <c r="C10" s="102"/>
      <c r="D10" s="102"/>
      <c r="E10" s="102"/>
      <c r="F10" s="102"/>
      <c r="G10" s="102"/>
      <c r="H10" s="102"/>
      <c r="I10" s="102"/>
      <c r="J10" s="102"/>
      <c r="K10" s="102"/>
      <c r="L10" s="102"/>
      <c r="M10" s="102"/>
      <c r="N10" s="102"/>
      <c r="O10" s="102"/>
      <c r="P10" s="102"/>
      <c r="Q10" s="102"/>
      <c r="R10" s="102"/>
      <c r="S10" s="102"/>
      <c r="T10" s="2"/>
      <c r="U10" s="2"/>
      <c r="V10" s="2"/>
      <c r="W10" s="2"/>
      <c r="X10" s="2"/>
      <c r="Y10" s="2"/>
      <c r="Z10" s="2"/>
      <c r="AA10" s="2"/>
      <c r="AB10" s="2"/>
      <c r="AC10" s="2"/>
      <c r="AD10" s="2"/>
      <c r="AE10" s="2"/>
      <c r="AF10" s="2"/>
    </row>
    <row r="11" spans="1:32" ht="31.5" customHeight="1" x14ac:dyDescent="0.25">
      <c r="A11" s="253" t="s">
        <v>172</v>
      </c>
      <c r="B11" s="253"/>
      <c r="C11" s="253"/>
      <c r="D11" s="253"/>
      <c r="E11" s="253"/>
      <c r="F11" s="253"/>
      <c r="G11" s="253"/>
      <c r="H11" s="253"/>
      <c r="I11" s="253"/>
      <c r="J11" s="253"/>
      <c r="K11" s="253"/>
      <c r="L11" s="253"/>
      <c r="M11" s="253"/>
      <c r="N11" s="253"/>
      <c r="O11" s="253"/>
      <c r="P11" s="253"/>
      <c r="Q11" s="102"/>
      <c r="R11" s="102"/>
      <c r="S11" s="102"/>
      <c r="T11" s="2"/>
      <c r="U11" s="2"/>
      <c r="V11" s="2"/>
      <c r="W11" s="2"/>
      <c r="X11" s="2"/>
      <c r="Y11" s="2"/>
      <c r="Z11" s="2"/>
      <c r="AA11" s="2"/>
      <c r="AB11" s="2"/>
      <c r="AC11" s="2"/>
      <c r="AD11" s="2"/>
      <c r="AE11" s="2"/>
      <c r="AF11" s="2"/>
    </row>
    <row r="12" spans="1:32"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1:32" x14ac:dyDescent="0.25">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1:32" x14ac:dyDescent="0.25">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row>
    <row r="15" spans="1:32" x14ac:dyDescent="0.2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row>
    <row r="16" spans="1:32"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row>
    <row r="17" spans="1:32"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row>
    <row r="18" spans="1:32"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row>
    <row r="19" spans="1:32"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row>
    <row r="20" spans="1:32"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row>
    <row r="21" spans="1:32"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row>
    <row r="22" spans="1:32"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row>
    <row r="23" spans="1:32"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32"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32"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32"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row>
    <row r="27" spans="1:32"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32"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32"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32"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32"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3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x14ac:dyDescent="0.25">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sheetData>
  <sheetProtection sheet="1" objects="1" scenarios="1"/>
  <mergeCells count="1">
    <mergeCell ref="A11:P11"/>
  </mergeCells>
  <hyperlinks>
    <hyperlink ref="B4" r:id="rId1"/>
    <hyperlink ref="E4"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AI48"/>
  <sheetViews>
    <sheetView zoomScale="60" zoomScaleNormal="60" workbookViewId="0"/>
  </sheetViews>
  <sheetFormatPr baseColWidth="10" defaultRowHeight="15" x14ac:dyDescent="0.25"/>
  <cols>
    <col min="1" max="1" width="9.140625" style="2" customWidth="1"/>
    <col min="2" max="2" width="12.42578125" style="2" customWidth="1"/>
    <col min="3" max="3" width="12.140625" style="2" customWidth="1"/>
    <col min="4" max="4" width="10.28515625" style="2" customWidth="1"/>
    <col min="5" max="5" width="12.140625" style="2" customWidth="1"/>
    <col min="6" max="6" width="13.7109375" style="2" customWidth="1"/>
    <col min="7" max="7" width="15.7109375" style="2" customWidth="1"/>
    <col min="8" max="9" width="15" style="2" customWidth="1"/>
    <col min="10" max="10" width="12.28515625" style="2" customWidth="1"/>
    <col min="11" max="11" width="11.140625" style="2" customWidth="1"/>
    <col min="12" max="14" width="12.28515625" style="2" customWidth="1"/>
    <col min="15" max="16" width="12.85546875" style="2" customWidth="1"/>
    <col min="17" max="17" width="17.42578125" style="2" customWidth="1"/>
    <col min="18" max="18" width="13.28515625" style="2" customWidth="1"/>
    <col min="19" max="31" width="12.85546875" style="2" customWidth="1"/>
    <col min="32" max="34" width="14" style="2" customWidth="1"/>
    <col min="35" max="35" width="14.28515625" style="2" customWidth="1"/>
    <col min="36" max="16384" width="11.42578125" style="2"/>
  </cols>
  <sheetData>
    <row r="1" spans="1:22" ht="23.25" x14ac:dyDescent="0.35">
      <c r="A1" s="1" t="s">
        <v>162</v>
      </c>
    </row>
    <row r="3" spans="1:22" ht="15.75" x14ac:dyDescent="0.25">
      <c r="A3" s="3" t="s">
        <v>57</v>
      </c>
    </row>
    <row r="4" spans="1:22" x14ac:dyDescent="0.25">
      <c r="A4" s="4"/>
      <c r="B4" s="2" t="s">
        <v>56</v>
      </c>
      <c r="D4" s="5"/>
      <c r="E4" s="2" t="s">
        <v>20</v>
      </c>
    </row>
    <row r="5" spans="1:22" ht="15" customHeight="1" x14ac:dyDescent="0.3">
      <c r="J5" s="270" t="s">
        <v>120</v>
      </c>
      <c r="K5" s="270"/>
      <c r="L5" s="270"/>
      <c r="M5" s="270"/>
      <c r="O5" s="270" t="s">
        <v>121</v>
      </c>
      <c r="P5" s="270"/>
      <c r="Q5" s="270"/>
      <c r="R5" s="6"/>
    </row>
    <row r="6" spans="1:22" ht="18.75" customHeight="1" x14ac:dyDescent="0.3">
      <c r="A6" s="274" t="s">
        <v>52</v>
      </c>
      <c r="B6" s="275"/>
      <c r="C6" s="275"/>
      <c r="D6" s="275"/>
      <c r="E6" s="275"/>
      <c r="F6" s="275"/>
      <c r="G6" s="275"/>
      <c r="H6" s="276"/>
      <c r="J6" s="271"/>
      <c r="K6" s="271"/>
      <c r="L6" s="271"/>
      <c r="M6" s="271"/>
      <c r="O6" s="271"/>
      <c r="P6" s="271"/>
      <c r="Q6" s="271"/>
      <c r="R6" s="6"/>
    </row>
    <row r="7" spans="1:22" ht="15" customHeight="1" x14ac:dyDescent="0.25">
      <c r="A7" s="7" t="s">
        <v>23</v>
      </c>
      <c r="B7" s="8" t="s">
        <v>24</v>
      </c>
      <c r="C7" s="277" t="s">
        <v>22</v>
      </c>
      <c r="D7" s="278"/>
      <c r="E7" s="278"/>
      <c r="F7" s="279"/>
      <c r="G7" s="9" t="s">
        <v>11</v>
      </c>
      <c r="H7" s="9" t="s">
        <v>12</v>
      </c>
      <c r="J7" s="10"/>
      <c r="K7" s="11"/>
      <c r="L7" s="12" t="s">
        <v>95</v>
      </c>
      <c r="M7" s="13" t="s">
        <v>94</v>
      </c>
      <c r="O7" s="283" t="s">
        <v>115</v>
      </c>
      <c r="P7" s="272" t="s">
        <v>117</v>
      </c>
      <c r="Q7" s="273"/>
      <c r="U7" s="14"/>
      <c r="V7" s="14"/>
    </row>
    <row r="8" spans="1:22" ht="15" customHeight="1" x14ac:dyDescent="0.25">
      <c r="A8" s="280" t="s">
        <v>5</v>
      </c>
      <c r="B8" s="260" t="s">
        <v>13</v>
      </c>
      <c r="C8" s="269" t="s">
        <v>29</v>
      </c>
      <c r="D8" s="269"/>
      <c r="E8" s="269"/>
      <c r="F8" s="269"/>
      <c r="G8" s="9" t="s">
        <v>14</v>
      </c>
      <c r="H8" s="15">
        <v>43</v>
      </c>
      <c r="J8" s="285" t="s">
        <v>119</v>
      </c>
      <c r="K8" s="16" t="s">
        <v>102</v>
      </c>
      <c r="L8" s="115">
        <v>3.8451</v>
      </c>
      <c r="M8" s="115">
        <v>-9.6265000000000001</v>
      </c>
      <c r="O8" s="284"/>
      <c r="P8" s="17" t="s">
        <v>113</v>
      </c>
      <c r="Q8" s="13" t="s">
        <v>114</v>
      </c>
      <c r="S8" s="14"/>
      <c r="T8" s="14"/>
      <c r="U8" s="14"/>
    </row>
    <row r="9" spans="1:22" ht="15" customHeight="1" x14ac:dyDescent="0.25">
      <c r="A9" s="281"/>
      <c r="B9" s="262"/>
      <c r="C9" s="269" t="s">
        <v>32</v>
      </c>
      <c r="D9" s="269"/>
      <c r="E9" s="269"/>
      <c r="F9" s="269"/>
      <c r="G9" s="9" t="s">
        <v>15</v>
      </c>
      <c r="H9" s="18">
        <v>42360</v>
      </c>
      <c r="J9" s="286"/>
      <c r="K9" s="19" t="s">
        <v>103</v>
      </c>
      <c r="L9" s="121">
        <v>10.36</v>
      </c>
      <c r="M9" s="124">
        <v>39.048000000000002</v>
      </c>
      <c r="O9" s="123">
        <v>1</v>
      </c>
      <c r="P9" s="123">
        <v>0</v>
      </c>
      <c r="Q9" s="121">
        <v>0</v>
      </c>
    </row>
    <row r="10" spans="1:22" ht="15" customHeight="1" x14ac:dyDescent="0.25">
      <c r="A10" s="281"/>
      <c r="B10" s="260" t="s">
        <v>30</v>
      </c>
      <c r="C10" s="269" t="s">
        <v>54</v>
      </c>
      <c r="D10" s="269"/>
      <c r="E10" s="269"/>
      <c r="F10" s="269"/>
      <c r="G10" s="9" t="s">
        <v>9</v>
      </c>
      <c r="H10" s="20">
        <v>1.5</v>
      </c>
      <c r="J10" s="285" t="s">
        <v>96</v>
      </c>
      <c r="K10" s="16" t="s">
        <v>97</v>
      </c>
      <c r="L10" s="115">
        <v>36.747</v>
      </c>
      <c r="M10" s="121">
        <v>-30.475000000000001</v>
      </c>
      <c r="O10" s="123">
        <v>2</v>
      </c>
      <c r="P10" s="123">
        <v>0.25</v>
      </c>
      <c r="Q10" s="121">
        <v>0.16666666666666666</v>
      </c>
      <c r="S10" s="21"/>
      <c r="T10" s="22"/>
    </row>
    <row r="11" spans="1:22" ht="15" customHeight="1" x14ac:dyDescent="0.25">
      <c r="A11" s="282"/>
      <c r="B11" s="262"/>
      <c r="C11" s="269" t="s">
        <v>55</v>
      </c>
      <c r="D11" s="269"/>
      <c r="E11" s="269"/>
      <c r="F11" s="269"/>
      <c r="G11" s="9" t="s">
        <v>9</v>
      </c>
      <c r="H11" s="20">
        <v>2.7</v>
      </c>
      <c r="J11" s="286"/>
      <c r="K11" s="23" t="s">
        <v>98</v>
      </c>
      <c r="L11" s="117">
        <v>41.042999999999999</v>
      </c>
      <c r="M11" s="117">
        <v>156.25</v>
      </c>
      <c r="O11" s="123">
        <v>3</v>
      </c>
      <c r="P11" s="123">
        <v>0.5</v>
      </c>
      <c r="Q11" s="121">
        <v>0.33333333333333331</v>
      </c>
      <c r="S11" s="21"/>
      <c r="T11" s="22"/>
    </row>
    <row r="12" spans="1:22" ht="15" customHeight="1" x14ac:dyDescent="0.25">
      <c r="A12" s="280" t="s">
        <v>51</v>
      </c>
      <c r="B12" s="260" t="s">
        <v>0</v>
      </c>
      <c r="C12" s="269" t="s">
        <v>1</v>
      </c>
      <c r="D12" s="269"/>
      <c r="E12" s="269"/>
      <c r="F12" s="269"/>
      <c r="G12" s="9" t="s">
        <v>6</v>
      </c>
      <c r="H12" s="24">
        <v>20</v>
      </c>
      <c r="J12" s="294" t="s">
        <v>99</v>
      </c>
      <c r="K12" s="19" t="s">
        <v>100</v>
      </c>
      <c r="L12" s="121">
        <v>16.911000000000001</v>
      </c>
      <c r="M12" s="121">
        <v>-6.7595000000000001</v>
      </c>
      <c r="O12" s="123">
        <v>4</v>
      </c>
      <c r="P12" s="123">
        <v>0.25</v>
      </c>
      <c r="Q12" s="121">
        <v>0.16666666666666666</v>
      </c>
      <c r="S12" s="21"/>
      <c r="T12" s="22"/>
    </row>
    <row r="13" spans="1:22" x14ac:dyDescent="0.25">
      <c r="A13" s="281"/>
      <c r="B13" s="261"/>
      <c r="C13" s="269" t="s">
        <v>18</v>
      </c>
      <c r="D13" s="269"/>
      <c r="E13" s="269"/>
      <c r="F13" s="269"/>
      <c r="G13" s="9" t="s">
        <v>10</v>
      </c>
      <c r="H13" s="25">
        <v>0.88539999999999996</v>
      </c>
      <c r="J13" s="286"/>
      <c r="K13" s="19" t="s">
        <v>101</v>
      </c>
      <c r="L13" s="121">
        <v>2.4213</v>
      </c>
      <c r="M13" s="121">
        <v>39.305999999999997</v>
      </c>
      <c r="O13" s="123">
        <v>5</v>
      </c>
      <c r="P13" s="123">
        <v>0</v>
      </c>
      <c r="Q13" s="121">
        <v>0</v>
      </c>
      <c r="S13" s="21"/>
      <c r="T13" s="22"/>
    </row>
    <row r="14" spans="1:22" x14ac:dyDescent="0.25">
      <c r="A14" s="281"/>
      <c r="B14" s="261"/>
      <c r="C14" s="26" t="s">
        <v>46</v>
      </c>
      <c r="D14" s="27"/>
      <c r="E14" s="27"/>
      <c r="F14" s="28"/>
      <c r="G14" s="9" t="s">
        <v>10</v>
      </c>
      <c r="H14" s="25">
        <v>0.16500000000000001</v>
      </c>
      <c r="J14" s="285" t="s">
        <v>118</v>
      </c>
      <c r="K14" s="16" t="s">
        <v>104</v>
      </c>
      <c r="L14" s="115">
        <v>2.4E-2</v>
      </c>
      <c r="M14" s="115">
        <v>-0.15</v>
      </c>
      <c r="O14" s="123">
        <v>6</v>
      </c>
      <c r="P14" s="123">
        <v>0</v>
      </c>
      <c r="Q14" s="121">
        <v>0</v>
      </c>
    </row>
    <row r="15" spans="1:22" x14ac:dyDescent="0.25">
      <c r="A15" s="281"/>
      <c r="B15" s="261"/>
      <c r="C15" s="26" t="s">
        <v>84</v>
      </c>
      <c r="D15" s="27"/>
      <c r="E15" s="27"/>
      <c r="F15" s="28"/>
      <c r="G15" s="9" t="s">
        <v>10</v>
      </c>
      <c r="H15" s="25">
        <v>0.78200000000000003</v>
      </c>
      <c r="J15" s="286"/>
      <c r="K15" s="23" t="s">
        <v>105</v>
      </c>
      <c r="L15" s="117">
        <v>0.70489999999999997</v>
      </c>
      <c r="M15" s="117">
        <v>0.7329</v>
      </c>
      <c r="O15" s="123">
        <v>7</v>
      </c>
      <c r="P15" s="123">
        <v>0</v>
      </c>
      <c r="Q15" s="121">
        <v>8.3333333333333329E-2</v>
      </c>
    </row>
    <row r="16" spans="1:22" ht="17.25" customHeight="1" x14ac:dyDescent="0.25">
      <c r="A16" s="281"/>
      <c r="B16" s="262"/>
      <c r="C16" s="26" t="s">
        <v>77</v>
      </c>
      <c r="D16" s="27"/>
      <c r="E16" s="27"/>
      <c r="F16" s="28"/>
      <c r="G16" s="9" t="s">
        <v>10</v>
      </c>
      <c r="H16" s="25">
        <v>0.17499999999999999</v>
      </c>
      <c r="J16" s="285" t="s">
        <v>50</v>
      </c>
      <c r="K16" s="29" t="s">
        <v>106</v>
      </c>
      <c r="L16" s="115">
        <v>21.734000000000002</v>
      </c>
      <c r="M16" s="115">
        <v>16.106000000000002</v>
      </c>
      <c r="O16" s="123">
        <v>8</v>
      </c>
      <c r="P16" s="123">
        <v>0</v>
      </c>
      <c r="Q16" s="121">
        <v>0.16666666666666666</v>
      </c>
      <c r="S16" s="21"/>
      <c r="U16" s="30"/>
    </row>
    <row r="17" spans="1:32" ht="15" customHeight="1" x14ac:dyDescent="0.25">
      <c r="A17" s="281"/>
      <c r="B17" s="260" t="s">
        <v>4</v>
      </c>
      <c r="C17" s="290" t="s">
        <v>1</v>
      </c>
      <c r="D17" s="291"/>
      <c r="E17" s="291"/>
      <c r="F17" s="292"/>
      <c r="G17" s="9" t="s">
        <v>6</v>
      </c>
      <c r="H17" s="24">
        <v>0</v>
      </c>
      <c r="J17" s="286"/>
      <c r="K17" s="31" t="s">
        <v>107</v>
      </c>
      <c r="L17" s="117">
        <v>-14.763999999999999</v>
      </c>
      <c r="M17" s="117">
        <v>-3.9855999999999998</v>
      </c>
      <c r="O17" s="123">
        <v>9</v>
      </c>
      <c r="P17" s="123">
        <v>0</v>
      </c>
      <c r="Q17" s="121">
        <v>8.3333333333333329E-2</v>
      </c>
    </row>
    <row r="18" spans="1:32" x14ac:dyDescent="0.25">
      <c r="A18" s="281"/>
      <c r="B18" s="261"/>
      <c r="C18" s="290" t="s">
        <v>19</v>
      </c>
      <c r="D18" s="291"/>
      <c r="E18" s="291"/>
      <c r="F18" s="292"/>
      <c r="G18" s="9" t="s">
        <v>10</v>
      </c>
      <c r="H18" s="25">
        <v>0.9</v>
      </c>
      <c r="J18" s="285" t="s">
        <v>139</v>
      </c>
      <c r="K18" s="29" t="s">
        <v>140</v>
      </c>
      <c r="L18" s="115">
        <v>0.4743</v>
      </c>
      <c r="M18" s="115">
        <v>0.28810000000000002</v>
      </c>
      <c r="O18" s="123">
        <v>10</v>
      </c>
      <c r="P18" s="123">
        <v>0</v>
      </c>
      <c r="Q18" s="121">
        <v>0</v>
      </c>
      <c r="AB18" s="32"/>
      <c r="AC18" s="287" t="s">
        <v>70</v>
      </c>
      <c r="AD18" s="288"/>
      <c r="AE18" s="289" t="s">
        <v>68</v>
      </c>
      <c r="AF18" s="288"/>
    </row>
    <row r="19" spans="1:32" x14ac:dyDescent="0.25">
      <c r="A19" s="281"/>
      <c r="B19" s="261"/>
      <c r="C19" s="26" t="s">
        <v>46</v>
      </c>
      <c r="D19" s="27"/>
      <c r="E19" s="27"/>
      <c r="F19" s="28"/>
      <c r="G19" s="9" t="s">
        <v>10</v>
      </c>
      <c r="H19" s="25">
        <v>8.3000000000000004E-2</v>
      </c>
      <c r="J19" s="286"/>
      <c r="K19" s="31" t="s">
        <v>141</v>
      </c>
      <c r="L19" s="117">
        <v>0.17730000000000001</v>
      </c>
      <c r="M19" s="117">
        <v>-3.7999999999999999E-2</v>
      </c>
      <c r="O19" s="123">
        <v>11</v>
      </c>
      <c r="P19" s="123">
        <v>0</v>
      </c>
      <c r="Q19" s="121">
        <v>0</v>
      </c>
      <c r="AB19" s="91"/>
      <c r="AC19" s="92" t="s">
        <v>67</v>
      </c>
      <c r="AD19" s="93" t="s">
        <v>69</v>
      </c>
      <c r="AE19" s="94" t="s">
        <v>67</v>
      </c>
      <c r="AF19" s="33" t="s">
        <v>69</v>
      </c>
    </row>
    <row r="20" spans="1:32" ht="15" customHeight="1" x14ac:dyDescent="0.25">
      <c r="A20" s="281"/>
      <c r="B20" s="261"/>
      <c r="C20" s="26" t="s">
        <v>84</v>
      </c>
      <c r="D20" s="27"/>
      <c r="E20" s="27"/>
      <c r="F20" s="28"/>
      <c r="G20" s="9" t="s">
        <v>10</v>
      </c>
      <c r="H20" s="25">
        <v>0.96</v>
      </c>
      <c r="O20" s="124">
        <v>12</v>
      </c>
      <c r="P20" s="124">
        <v>0</v>
      </c>
      <c r="Q20" s="117">
        <v>0</v>
      </c>
      <c r="AB20" s="95" t="s">
        <v>0</v>
      </c>
      <c r="AC20" s="96">
        <f>SUM(W39:W48)*7/1000</f>
        <v>1.23956</v>
      </c>
      <c r="AD20" s="97">
        <f>(IF(W39&lt;&gt;"",D39*W39+IF(W40&lt;&gt;"",D40*W40+IF(W41&lt;&gt;"",D41*W41+IF(W42&lt;&gt;"",D42*W42+IF(W43&lt;&gt;"",D43*W43+IF(W44&lt;&gt;"",D44*W44+IF(W45&lt;&gt;"",D45*W45+IF(W46&lt;&gt;"",D46*W46+IF(W47&lt;&gt;"",D47*W47+IF(W48&lt;&gt;"",D48*W48)))))))))))*7/1000</f>
        <v>110.73402666666664</v>
      </c>
      <c r="AE20" s="98">
        <f>AC20*H27/H13/1000</f>
        <v>0.77000000000000013</v>
      </c>
      <c r="AF20" s="97">
        <f>AD20*H27/H13/1000</f>
        <v>68.786666666666662</v>
      </c>
    </row>
    <row r="21" spans="1:32" ht="15" customHeight="1" x14ac:dyDescent="0.25">
      <c r="A21" s="281"/>
      <c r="B21" s="262"/>
      <c r="C21" s="26" t="s">
        <v>77</v>
      </c>
      <c r="D21" s="27"/>
      <c r="E21" s="27"/>
      <c r="F21" s="28"/>
      <c r="G21" s="9" t="s">
        <v>10</v>
      </c>
      <c r="H21" s="25">
        <v>0.38400000000000001</v>
      </c>
      <c r="AB21" s="95" t="s">
        <v>4</v>
      </c>
      <c r="AC21" s="96">
        <f>SUM(V39:V48)*7/1000</f>
        <v>0</v>
      </c>
      <c r="AD21" s="97">
        <f>(IF(V39&lt;&gt;"",D39*V39+IF(V40&lt;&gt;"",D40*V40+IF(V41&lt;&gt;"",D41*V41+IF(V42&lt;&gt;"",D42*V42+IF(V43&lt;&gt;"",D43*V43+IF(V44&lt;&gt;"",D44*V44+IF(V45&lt;&gt;"",D45*V45+IF(V46&lt;&gt;"",D46*V46+IF(V47&lt;&gt;"",D47*V47+IF(V48&lt;&gt;"",D48*V48)))))))))))*7/1000</f>
        <v>0</v>
      </c>
      <c r="AE21" s="98">
        <f>AC21*H28/H18/1000</f>
        <v>0</v>
      </c>
      <c r="AF21" s="97">
        <f>AD21*H28/H18/1000</f>
        <v>0</v>
      </c>
    </row>
    <row r="22" spans="1:32" x14ac:dyDescent="0.25">
      <c r="A22" s="281"/>
      <c r="B22" s="260" t="s">
        <v>2</v>
      </c>
      <c r="C22" s="26" t="s">
        <v>42</v>
      </c>
      <c r="D22" s="27"/>
      <c r="E22" s="27"/>
      <c r="F22" s="28"/>
      <c r="G22" s="9" t="s">
        <v>53</v>
      </c>
      <c r="H22" s="25" t="s">
        <v>135</v>
      </c>
      <c r="I22" s="2" t="s">
        <v>132</v>
      </c>
      <c r="J22" s="34"/>
      <c r="K22" s="35"/>
      <c r="L22" s="293"/>
      <c r="M22" s="293"/>
      <c r="N22" s="36"/>
      <c r="AB22" s="91" t="s">
        <v>2</v>
      </c>
      <c r="AC22" s="99">
        <f>SUM(U39:U48)*7/1000</f>
        <v>4.4855660453716872</v>
      </c>
      <c r="AD22" s="100">
        <f>(IF(U39&lt;&gt;"",D39*U39+IF(U40&lt;&gt;"",D40*U40+IF(U41&lt;&gt;"",D41*U41+IF(U42&lt;&gt;"",D42*U42+IF(U43&lt;&gt;"",D43*U43+IF(U44&lt;&gt;"",D44*U44+IF(U45&lt;&gt;"",D45*U45+IF(U46&lt;&gt;"",D46*U46+IF(U47&lt;&gt;"",D47*U47+IF(U48&lt;&gt;"",D48*U48)))))))))))*7/1000</f>
        <v>399.94197569814082</v>
      </c>
      <c r="AE22" s="101">
        <f>AC22*H29/1000</f>
        <v>0.1794226418148675</v>
      </c>
      <c r="AF22" s="100">
        <f>AD22*H29/1000</f>
        <v>15.997679027925633</v>
      </c>
    </row>
    <row r="23" spans="1:32" x14ac:dyDescent="0.25">
      <c r="A23" s="281"/>
      <c r="B23" s="261"/>
      <c r="C23" s="290" t="s">
        <v>80</v>
      </c>
      <c r="D23" s="291"/>
      <c r="E23" s="291"/>
      <c r="F23" s="292"/>
      <c r="G23" s="9" t="s">
        <v>10</v>
      </c>
      <c r="H23" s="25">
        <v>0.21759999999999999</v>
      </c>
      <c r="N23" s="36"/>
      <c r="AB23" s="102"/>
      <c r="AC23" s="102"/>
      <c r="AD23" s="102"/>
      <c r="AE23" s="102"/>
    </row>
    <row r="24" spans="1:32" ht="15" customHeight="1" x14ac:dyDescent="0.25">
      <c r="A24" s="281"/>
      <c r="B24" s="261"/>
      <c r="C24" s="290" t="s">
        <v>86</v>
      </c>
      <c r="D24" s="291"/>
      <c r="E24" s="291"/>
      <c r="F24" s="292"/>
      <c r="G24" s="9" t="s">
        <v>10</v>
      </c>
      <c r="H24" s="25">
        <v>0.95269999999999999</v>
      </c>
      <c r="L24" s="270" t="s">
        <v>122</v>
      </c>
      <c r="M24" s="270"/>
      <c r="N24" s="270"/>
      <c r="O24" s="270"/>
      <c r="AB24" s="263" t="s">
        <v>71</v>
      </c>
      <c r="AC24" s="264"/>
      <c r="AD24" s="264"/>
      <c r="AE24" s="265"/>
    </row>
    <row r="25" spans="1:32" ht="15" customHeight="1" x14ac:dyDescent="0.25">
      <c r="A25" s="281"/>
      <c r="B25" s="261"/>
      <c r="C25" s="290" t="s">
        <v>78</v>
      </c>
      <c r="D25" s="291"/>
      <c r="E25" s="291"/>
      <c r="F25" s="292"/>
      <c r="G25" s="9" t="s">
        <v>10</v>
      </c>
      <c r="H25" s="25">
        <v>0.33750000000000002</v>
      </c>
      <c r="L25" s="271"/>
      <c r="M25" s="271"/>
      <c r="N25" s="271"/>
      <c r="O25" s="271"/>
      <c r="AB25" s="91"/>
      <c r="AC25" s="94" t="s">
        <v>67</v>
      </c>
      <c r="AD25" s="94" t="s">
        <v>69</v>
      </c>
      <c r="AE25" s="103"/>
    </row>
    <row r="26" spans="1:32" x14ac:dyDescent="0.25">
      <c r="A26" s="282"/>
      <c r="B26" s="262"/>
      <c r="C26" s="26" t="s">
        <v>39</v>
      </c>
      <c r="D26" s="27"/>
      <c r="E26" s="27"/>
      <c r="F26" s="27"/>
      <c r="G26" s="9" t="s">
        <v>40</v>
      </c>
      <c r="H26" s="24">
        <v>0.4</v>
      </c>
      <c r="J26" s="34"/>
      <c r="K26" s="35"/>
      <c r="L26" s="104"/>
      <c r="M26" s="111"/>
      <c r="N26" s="112" t="s">
        <v>95</v>
      </c>
      <c r="O26" s="113" t="s">
        <v>94</v>
      </c>
      <c r="AB26" s="104"/>
      <c r="AC26" s="105">
        <f>MAX(G39:G48)*H33*H34</f>
        <v>22.448874734527124</v>
      </c>
      <c r="AD26" s="105">
        <f>AC26*MIN(D39:D48)</f>
        <v>1795.9099787621699</v>
      </c>
      <c r="AE26" s="106"/>
    </row>
    <row r="27" spans="1:32" x14ac:dyDescent="0.25">
      <c r="A27" s="280" t="s">
        <v>63</v>
      </c>
      <c r="B27" s="260" t="s">
        <v>64</v>
      </c>
      <c r="C27" s="26" t="s">
        <v>58</v>
      </c>
      <c r="D27" s="27"/>
      <c r="E27" s="27"/>
      <c r="F27" s="27"/>
      <c r="G27" s="9" t="s">
        <v>59</v>
      </c>
      <c r="H27" s="37">
        <v>550</v>
      </c>
      <c r="J27" s="38"/>
      <c r="K27" s="35"/>
      <c r="L27" s="258" t="s">
        <v>125</v>
      </c>
      <c r="M27" s="114" t="s">
        <v>130</v>
      </c>
      <c r="N27" s="115">
        <v>1.004</v>
      </c>
      <c r="O27" s="115">
        <v>1.01</v>
      </c>
      <c r="U27" s="14"/>
      <c r="V27" s="14"/>
      <c r="AB27" s="102"/>
      <c r="AC27" s="102"/>
      <c r="AD27" s="102"/>
      <c r="AE27" s="102"/>
    </row>
    <row r="28" spans="1:32" x14ac:dyDescent="0.25">
      <c r="A28" s="281"/>
      <c r="B28" s="261"/>
      <c r="C28" s="26" t="s">
        <v>60</v>
      </c>
      <c r="D28" s="27"/>
      <c r="E28" s="27"/>
      <c r="F28" s="27"/>
      <c r="G28" s="9" t="s">
        <v>59</v>
      </c>
      <c r="H28" s="37">
        <v>120</v>
      </c>
      <c r="J28" s="34"/>
      <c r="K28" s="35"/>
      <c r="L28" s="259"/>
      <c r="M28" s="116" t="s">
        <v>131</v>
      </c>
      <c r="N28" s="117">
        <v>1100</v>
      </c>
      <c r="O28" s="117">
        <v>1500</v>
      </c>
      <c r="U28" s="14"/>
      <c r="V28" s="14"/>
      <c r="AB28" s="263" t="s">
        <v>76</v>
      </c>
      <c r="AC28" s="264"/>
      <c r="AD28" s="264"/>
      <c r="AE28" s="265"/>
    </row>
    <row r="29" spans="1:32" x14ac:dyDescent="0.25">
      <c r="A29" s="281"/>
      <c r="B29" s="262"/>
      <c r="C29" s="26" t="s">
        <v>61</v>
      </c>
      <c r="D29" s="27"/>
      <c r="E29" s="27"/>
      <c r="F29" s="27"/>
      <c r="G29" s="9" t="s">
        <v>62</v>
      </c>
      <c r="H29" s="37">
        <v>40</v>
      </c>
      <c r="J29" s="38"/>
      <c r="K29" s="35"/>
      <c r="L29" s="258" t="s">
        <v>123</v>
      </c>
      <c r="M29" s="114" t="s">
        <v>126</v>
      </c>
      <c r="N29" s="115">
        <v>1.002</v>
      </c>
      <c r="O29" s="115">
        <v>1.0009999999999999</v>
      </c>
      <c r="AB29" s="92" t="s">
        <v>142</v>
      </c>
      <c r="AC29" s="107" t="s">
        <v>143</v>
      </c>
      <c r="AD29" s="107"/>
      <c r="AE29" s="93" t="s">
        <v>69</v>
      </c>
    </row>
    <row r="30" spans="1:32" ht="15" customHeight="1" x14ac:dyDescent="0.25">
      <c r="A30" s="281"/>
      <c r="B30" s="260" t="s">
        <v>66</v>
      </c>
      <c r="C30" s="26" t="s">
        <v>134</v>
      </c>
      <c r="D30" s="27"/>
      <c r="E30" s="27"/>
      <c r="F30" s="28"/>
      <c r="G30" s="9" t="s">
        <v>65</v>
      </c>
      <c r="H30" s="37">
        <v>100</v>
      </c>
      <c r="J30" s="34"/>
      <c r="K30" s="35"/>
      <c r="L30" s="259"/>
      <c r="M30" s="118" t="s">
        <v>127</v>
      </c>
      <c r="N30" s="117">
        <v>27000</v>
      </c>
      <c r="O30" s="117">
        <v>18000</v>
      </c>
      <c r="AB30" s="108">
        <f>AC26-SUM(AE20:AE22)</f>
        <v>21.499452092712257</v>
      </c>
      <c r="AC30" s="109">
        <f>(AD26-SUM(AF20:AF22))/$H$30</f>
        <v>17.111256330675776</v>
      </c>
      <c r="AD30" s="109"/>
      <c r="AE30" s="110">
        <f>AD26-SUM(AF20:AF22)</f>
        <v>1711.1256330675776</v>
      </c>
    </row>
    <row r="31" spans="1:32" x14ac:dyDescent="0.25">
      <c r="A31" s="281"/>
      <c r="B31" s="261"/>
      <c r="C31" s="27" t="s">
        <v>109</v>
      </c>
      <c r="D31" s="27"/>
      <c r="E31" s="27"/>
      <c r="F31" s="28"/>
      <c r="G31" s="9" t="s">
        <v>10</v>
      </c>
      <c r="H31" s="25">
        <v>0.2</v>
      </c>
      <c r="K31" s="39"/>
      <c r="L31" s="119" t="s">
        <v>124</v>
      </c>
      <c r="M31" s="120" t="s">
        <v>128</v>
      </c>
      <c r="N31" s="121">
        <v>1.0000100000000001</v>
      </c>
      <c r="O31" s="121">
        <v>1.0009999999999999</v>
      </c>
      <c r="AB31" s="102"/>
      <c r="AC31" s="102"/>
      <c r="AD31" s="102"/>
      <c r="AE31" s="102"/>
    </row>
    <row r="32" spans="1:32" x14ac:dyDescent="0.25">
      <c r="A32" s="281"/>
      <c r="B32" s="262"/>
      <c r="C32" s="27" t="s">
        <v>110</v>
      </c>
      <c r="D32" s="27"/>
      <c r="E32" s="27"/>
      <c r="F32" s="28"/>
      <c r="G32" s="9" t="s">
        <v>111</v>
      </c>
      <c r="H32" s="37">
        <v>2</v>
      </c>
      <c r="I32" s="2" t="s">
        <v>112</v>
      </c>
      <c r="K32" s="36"/>
      <c r="L32" s="122"/>
      <c r="M32" s="116" t="s">
        <v>129</v>
      </c>
      <c r="N32" s="117">
        <v>2200</v>
      </c>
      <c r="O32" s="117">
        <v>1200</v>
      </c>
      <c r="AB32" s="266" t="s">
        <v>133</v>
      </c>
      <c r="AC32" s="267"/>
      <c r="AD32" s="267"/>
      <c r="AE32" s="268"/>
    </row>
    <row r="33" spans="1:35" x14ac:dyDescent="0.25">
      <c r="A33" s="281"/>
      <c r="B33" s="260" t="s">
        <v>73</v>
      </c>
      <c r="C33" s="27" t="s">
        <v>72</v>
      </c>
      <c r="D33" s="27"/>
      <c r="E33" s="27"/>
      <c r="F33" s="28"/>
      <c r="G33" s="9" t="s">
        <v>10</v>
      </c>
      <c r="H33" s="25">
        <v>0.56999999999999995</v>
      </c>
      <c r="K33" s="36"/>
      <c r="AB33" s="104"/>
      <c r="AC33" s="254">
        <f>AVERAGE(AE39:AE48)</f>
        <v>19.899641788377117</v>
      </c>
      <c r="AD33" s="254"/>
      <c r="AE33" s="110"/>
    </row>
    <row r="34" spans="1:35" x14ac:dyDescent="0.25">
      <c r="A34" s="282"/>
      <c r="B34" s="262"/>
      <c r="C34" s="26" t="s">
        <v>74</v>
      </c>
      <c r="D34" s="27"/>
      <c r="E34" s="27"/>
      <c r="F34" s="28"/>
      <c r="G34" s="9" t="s">
        <v>75</v>
      </c>
      <c r="H34" s="40">
        <v>14.5</v>
      </c>
      <c r="K34" s="36"/>
    </row>
    <row r="35" spans="1:35" x14ac:dyDescent="0.25">
      <c r="K35" s="36"/>
      <c r="L35" s="36"/>
    </row>
    <row r="36" spans="1:35" ht="15" customHeight="1" x14ac:dyDescent="0.25">
      <c r="A36" s="41" t="s">
        <v>23</v>
      </c>
      <c r="B36" s="255" t="s">
        <v>28</v>
      </c>
      <c r="C36" s="256"/>
      <c r="D36" s="256"/>
      <c r="E36" s="256"/>
      <c r="F36" s="256"/>
      <c r="G36" s="256"/>
      <c r="H36" s="257"/>
      <c r="I36" s="255" t="s">
        <v>36</v>
      </c>
      <c r="J36" s="256"/>
      <c r="K36" s="256"/>
      <c r="L36" s="256"/>
      <c r="M36" s="256"/>
      <c r="N36" s="256"/>
      <c r="O36" s="257"/>
      <c r="P36" s="255" t="s">
        <v>17</v>
      </c>
      <c r="Q36" s="256"/>
      <c r="R36" s="256"/>
      <c r="S36" s="256"/>
      <c r="T36" s="256"/>
      <c r="U36" s="256"/>
      <c r="V36" s="256"/>
      <c r="W36" s="256"/>
      <c r="X36" s="256"/>
      <c r="Y36" s="256"/>
      <c r="Z36" s="256"/>
      <c r="AA36" s="257"/>
      <c r="AB36" s="42" t="s">
        <v>50</v>
      </c>
      <c r="AC36" s="43"/>
      <c r="AD36" s="43"/>
      <c r="AE36" s="44"/>
    </row>
    <row r="37" spans="1:35" ht="45" customHeight="1" x14ac:dyDescent="0.25">
      <c r="A37" s="45" t="s">
        <v>89</v>
      </c>
      <c r="B37" s="46" t="s">
        <v>34</v>
      </c>
      <c r="C37" s="46" t="s">
        <v>21</v>
      </c>
      <c r="D37" s="46" t="s">
        <v>66</v>
      </c>
      <c r="E37" s="46" t="s">
        <v>116</v>
      </c>
      <c r="F37" s="46" t="s">
        <v>13</v>
      </c>
      <c r="G37" s="46" t="s">
        <v>30</v>
      </c>
      <c r="H37" s="46" t="s">
        <v>31</v>
      </c>
      <c r="I37" s="46" t="s">
        <v>3</v>
      </c>
      <c r="J37" s="46" t="s">
        <v>3</v>
      </c>
      <c r="K37" s="46" t="s">
        <v>43</v>
      </c>
      <c r="L37" s="46" t="s">
        <v>37</v>
      </c>
      <c r="M37" s="46" t="s">
        <v>87</v>
      </c>
      <c r="N37" s="46" t="s">
        <v>88</v>
      </c>
      <c r="O37" s="46" t="s">
        <v>79</v>
      </c>
      <c r="P37" s="46" t="s">
        <v>92</v>
      </c>
      <c r="Q37" s="46" t="s">
        <v>83</v>
      </c>
      <c r="R37" s="46" t="s">
        <v>81</v>
      </c>
      <c r="S37" s="46" t="s">
        <v>45</v>
      </c>
      <c r="T37" s="46" t="s">
        <v>41</v>
      </c>
      <c r="U37" s="47" t="s">
        <v>25</v>
      </c>
      <c r="V37" s="47" t="s">
        <v>26</v>
      </c>
      <c r="W37" s="47" t="s">
        <v>27</v>
      </c>
      <c r="X37" s="47" t="s">
        <v>47</v>
      </c>
      <c r="Y37" s="47" t="s">
        <v>48</v>
      </c>
      <c r="Z37" s="47" t="s">
        <v>85</v>
      </c>
      <c r="AA37" s="47" t="s">
        <v>82</v>
      </c>
      <c r="AB37" s="48" t="s">
        <v>93</v>
      </c>
      <c r="AC37" s="48" t="s">
        <v>136</v>
      </c>
      <c r="AD37" s="48" t="s">
        <v>137</v>
      </c>
      <c r="AE37" s="48" t="s">
        <v>138</v>
      </c>
    </row>
    <row r="38" spans="1:35" x14ac:dyDescent="0.25">
      <c r="A38" s="49" t="s">
        <v>11</v>
      </c>
      <c r="B38" s="45" t="s">
        <v>35</v>
      </c>
      <c r="C38" s="45" t="s">
        <v>15</v>
      </c>
      <c r="D38" s="45" t="s">
        <v>108</v>
      </c>
      <c r="E38" s="45"/>
      <c r="F38" s="49" t="s">
        <v>14</v>
      </c>
      <c r="G38" s="49" t="s">
        <v>9</v>
      </c>
      <c r="H38" s="49" t="s">
        <v>9</v>
      </c>
      <c r="I38" s="50" t="s">
        <v>7</v>
      </c>
      <c r="J38" s="50" t="s">
        <v>33</v>
      </c>
      <c r="K38" s="50" t="s">
        <v>44</v>
      </c>
      <c r="L38" s="51" t="s">
        <v>38</v>
      </c>
      <c r="M38" s="51" t="s">
        <v>10</v>
      </c>
      <c r="N38" s="51" t="s">
        <v>10</v>
      </c>
      <c r="O38" s="51" t="s">
        <v>10</v>
      </c>
      <c r="P38" s="51" t="s">
        <v>16</v>
      </c>
      <c r="Q38" s="51" t="s">
        <v>16</v>
      </c>
      <c r="R38" s="51" t="s">
        <v>16</v>
      </c>
      <c r="S38" s="51" t="s">
        <v>16</v>
      </c>
      <c r="T38" s="51" t="s">
        <v>10</v>
      </c>
      <c r="U38" s="52" t="s">
        <v>16</v>
      </c>
      <c r="V38" s="53" t="s">
        <v>8</v>
      </c>
      <c r="W38" s="49" t="s">
        <v>8</v>
      </c>
      <c r="X38" s="51" t="s">
        <v>8</v>
      </c>
      <c r="Y38" s="51" t="s">
        <v>49</v>
      </c>
      <c r="Z38" s="51" t="s">
        <v>91</v>
      </c>
      <c r="AA38" s="51" t="s">
        <v>90</v>
      </c>
      <c r="AB38" s="47" t="s">
        <v>6</v>
      </c>
      <c r="AC38" s="51" t="s">
        <v>49</v>
      </c>
      <c r="AD38" s="51" t="s">
        <v>91</v>
      </c>
      <c r="AE38" s="47" t="s">
        <v>6</v>
      </c>
    </row>
    <row r="39" spans="1:35" ht="17.25" customHeight="1" x14ac:dyDescent="0.25">
      <c r="A39" s="49"/>
      <c r="B39" s="60">
        <v>1</v>
      </c>
      <c r="C39" s="61">
        <f>$H$9</f>
        <v>42360</v>
      </c>
      <c r="D39" s="62">
        <f>H30</f>
        <v>100</v>
      </c>
      <c r="E39" s="63">
        <f>$H$30*$H$31*IF($H$32=1,P9,Q9)</f>
        <v>0</v>
      </c>
      <c r="F39" s="64">
        <f>$H$8+(C39-$H$9)</f>
        <v>43</v>
      </c>
      <c r="G39" s="65">
        <f>$H$10</f>
        <v>1.5</v>
      </c>
      <c r="H39" s="66">
        <f>G39^0.75</f>
        <v>1.3554030054147672</v>
      </c>
      <c r="I39" s="54">
        <v>2</v>
      </c>
      <c r="J39" s="79">
        <f>I39*100</f>
        <v>200</v>
      </c>
      <c r="K39" s="79">
        <f>J39*$H$26*$H$30/D39</f>
        <v>80</v>
      </c>
      <c r="L39" s="54">
        <v>78.55</v>
      </c>
      <c r="M39" s="81">
        <f t="shared" ref="M39" si="0">IF($H$22="Gram",$H$23-($N$27-EXP(-(L39-$L$39)/$N$28))*$H$23,$H$23-($O$27-EXP(-(L39-$L$39)/$O$28))*$H$23)</f>
        <v>0.21542399999999998</v>
      </c>
      <c r="N39" s="82">
        <f t="shared" ref="N39" si="1">MIN(96%,IF($H$22="Gram",$H$24+($N$29-EXP(-(L39-$L$39)/$N$30))*$H$24,$H$24+($O$29-EXP(-(L39-$L$39)/$O$30))*$H$24))</f>
        <v>0.95365269999999991</v>
      </c>
      <c r="O39" s="82">
        <f t="shared" ref="O39" si="2">IF($H$22="Gram",$H$25+$H$25*($N$31-EXP(-(L39-$L$39)/$N$32)),$H$25+$H$25*($O$31-EXP(-(L39-$L$39)/$O$32)))</f>
        <v>0.33783750000000001</v>
      </c>
      <c r="P39" s="83">
        <f>MAX(0,IF($H$22="Lég",(($M$8 *H39 + $M$9-(W39*$H$14)-(V39*$H$19))/M39)),(($L$8*H39 + $L$9-(W39*$H$14)-(V39*$H$19))/M39))</f>
        <v>107.1300921363207</v>
      </c>
      <c r="Q39" s="83">
        <f>MAX(0,IF($H$22="Lég",(($M$10*H39 + $M$11-(W39*$H$15)-(V39*$H$20))/N39)),(($L$10*H39+$L$11-(W39*$H$15)-(V39*$H$20))/N39))</f>
        <v>106.00970081664423</v>
      </c>
      <c r="R39" s="83">
        <f>MAX(0,IF($H$22="Lég",(($M$12*H39 +$M$13-(W39*$H$16)-(V39*$H$21))/O39)),(($L$12*H39 +$L$13-(W39*$H$16)-(V39*$H$21))/O39))</f>
        <v>80.05403007333075</v>
      </c>
      <c r="S39" s="83">
        <f t="shared" ref="S39" si="3">MIN(P39,Q39,R39)</f>
        <v>80.05403007333075</v>
      </c>
      <c r="T39" s="82">
        <f>IF(S39&gt;0,MIN(100%,IF($H$22="Lég",$M$14*LN(K39/S39)+$M$15,$L$14*LN(K39/S39) + $L$15)),0)</f>
        <v>0.7330012721929432</v>
      </c>
      <c r="U39" s="84">
        <f>MIN(S39,MAX(0,(K39*T39)))</f>
        <v>58.640101775435454</v>
      </c>
      <c r="V39" s="84">
        <f>$H$17*$H$18</f>
        <v>0</v>
      </c>
      <c r="W39" s="84">
        <f>$H$12*$H$13</f>
        <v>17.707999999999998</v>
      </c>
      <c r="X39" s="84">
        <f>W39+U39+V39</f>
        <v>76.348101775435453</v>
      </c>
      <c r="Y39" s="84">
        <f>U39*M39+V39*$H$19+W39*$H$14</f>
        <v>15.554305284871406</v>
      </c>
      <c r="Z39" s="84">
        <f>U39*N39+V39*$H$20+W39*$H$15</f>
        <v>69.769947386418806</v>
      </c>
      <c r="AA39" s="84">
        <f>U39*O39+V39*$H$21+W39*$H$16</f>
        <v>22.909725383558676</v>
      </c>
      <c r="AB39" s="83">
        <f>IF($H$22="Lég",($M$16*H39+$M$17),IF($H$22="Gram",$L$16*H39+$L$17))</f>
        <v>17.844520805210244</v>
      </c>
      <c r="AC39" s="82">
        <f>IF($H$22="Lég",(Y39-($M$8*H39+$M$9))/($M$8*H39+$M$9),IF($H$22="Gram",(Y39-($L$8*H39+$L$9))/($L$8*H39+$L$9)))</f>
        <v>-0.40176238926231789</v>
      </c>
      <c r="AD39" s="82">
        <f>IF($H$22="Lég",(Z39-($M$10*H39+$M$11))/($M$10*H39+$M$11),IF($H$22="Gram",(Z39-($L$10*H39+$L$11))/($L$10*H39+$L$11)))</f>
        <v>-0.39300972049462407</v>
      </c>
      <c r="AE39" s="83">
        <f>AB39+IF($H$22="Lég",($M$18*MIN(AC39:AD39)+$M$19),$L$18*MIN(AC39:AD39)+$L$19)*AB39</f>
        <v>15.100965982465446</v>
      </c>
      <c r="AI39" s="55"/>
    </row>
    <row r="40" spans="1:35" x14ac:dyDescent="0.25">
      <c r="A40" s="56"/>
      <c r="B40" s="67">
        <f>B39+1</f>
        <v>2</v>
      </c>
      <c r="C40" s="68">
        <f>C39+7</f>
        <v>42367</v>
      </c>
      <c r="D40" s="62">
        <f>IF(E39&lt;&gt;"",D39-E39,D39)</f>
        <v>100</v>
      </c>
      <c r="E40" s="62">
        <f t="shared" ref="E40:E48" si="4">IF(G39&gt;$H$11,"",$H$30*$H$31*IF($H$32=1,P10,Q10))</f>
        <v>3.333333333333333</v>
      </c>
      <c r="F40" s="69">
        <f t="shared" ref="F40:F48" si="5">IF(G39&gt;$H$11,"",$H$8+(C40-$H$9))</f>
        <v>50</v>
      </c>
      <c r="G40" s="70">
        <f>IF(G39&gt;$H$11,"",G39+AE39*7/1000)</f>
        <v>1.605706761877258</v>
      </c>
      <c r="H40" s="71">
        <f t="shared" ref="H40:H48" si="6">IF(G39&gt;$H$11,"",G40^0.75)</f>
        <v>1.4264274152933534</v>
      </c>
      <c r="I40" s="57">
        <v>2.2000000000000002</v>
      </c>
      <c r="J40" s="80">
        <f t="shared" ref="J40:J48" si="7">IF(G39&gt;$H$11,"",I40*100)</f>
        <v>220.00000000000003</v>
      </c>
      <c r="K40" s="62">
        <f t="shared" ref="K40:K48" si="8">IF(G39&gt;$H$11,"",J40*$H$26*$H$30/D40)</f>
        <v>88.000000000000014</v>
      </c>
      <c r="L40" s="57">
        <v>179.45</v>
      </c>
      <c r="M40" s="85">
        <f t="shared" ref="M40:M48" si="9">IF(G39&gt;$H$11,"",IF($H$22="Gram",$H$23-($N$27-EXP(-(L40-$L$39)/$N$28))*$H$23,$H$23-($O$27-EXP(-(L40-$L$39)/$O$28))*$H$23))</f>
        <v>0.20126821678552459</v>
      </c>
      <c r="N40" s="85">
        <f t="shared" ref="N40:N48" si="10">IF(G39&gt;$H$11,"",MIN(96%,IF($H$22="Gram",$H$24+($N$29-EXP(-(L40-$L$39)/$N$30))*$H$24,$H$24+($O$29-EXP(-(L40-$L$39)/$O$30))*$H$24)))</f>
        <v>0.9589781727163369</v>
      </c>
      <c r="O40" s="86">
        <f t="shared" ref="O40:O48" si="11">IF(G39&gt;$H$11,"",IF($H$22="Gram",$H$25+$H$25*($N$31-EXP(-(L40-$L$39)/$N$32)),$H$25+$H$25*($O$31-EXP(-(L40-$L$39)/$O$32))))</f>
        <v>0.36505530899454453</v>
      </c>
      <c r="P40" s="72">
        <f t="shared" ref="P40:P48" si="12">IF(G39&gt;$H$11,"",MAX(0,IF($H$22="Lég",(($M$8*H40 +$M$9-(W40*$H$14)-(V40*$H$19))/M40)),(($L$8*H40 + $L$9-(W40*$H$14)-(V40*$H$19))/M40)))</f>
        <v>111.26782382408021</v>
      </c>
      <c r="Q40" s="72">
        <f t="shared" ref="Q40:Q48" si="13">IF(G39&gt;$H$11,"",MAX(0,IF($H$22="Lég",(($M$10*H40 + $M$11-(W40*$H$15)-(V40*$H$20))/N40)),(($L$10*H40 +$L$11-(W40*$H$15)-(V40*$H$20))/N40)))</f>
        <v>103.16394192654775</v>
      </c>
      <c r="R40" s="72">
        <f t="shared" ref="R40:R48" si="14">IF(G39&gt;$H$11,"",MAX(0,IF($H$22="Lég",(($M$12*H40 + $M$13-(W40*$H$16)-(V40*$H$21))/O40)),(($L$12*H40 +$L$13-(W40*$H$16)-(V40*$H$21))/O40)))</f>
        <v>72.770243937807166</v>
      </c>
      <c r="S40" s="72">
        <f t="shared" ref="S40:S48" si="15">IF(G39&gt;$H$11,"",MIN(P40,Q40,R40))</f>
        <v>72.770243937807166</v>
      </c>
      <c r="T40" s="87">
        <f t="shared" ref="T40:T48" si="16">IF(G39&gt;$H$11,"",MIN(100%,IF($H$22="Lég",$M$14*LN(K40/S40)+$M$15,$L$14*LN(K40/S40) + $L$15)))</f>
        <v>0.7043955480075923</v>
      </c>
      <c r="U40" s="88">
        <f t="shared" ref="U40:U48" si="17">IF(G39&gt;$H$11,"",MIN(S40,MAX(0,(K40*T40))))</f>
        <v>61.986808224668131</v>
      </c>
      <c r="V40" s="88">
        <f t="shared" ref="V40:V48" si="18">IF(G39&gt;$H$11,"",$H$17*$H$18)</f>
        <v>0</v>
      </c>
      <c r="W40" s="88">
        <f t="shared" ref="W40:W48" si="19">IF(G39&gt;$H$11,"",$H$12*$H$13)</f>
        <v>17.707999999999998</v>
      </c>
      <c r="X40" s="88">
        <f t="shared" ref="X40:X48" si="20">IF(G39&gt;$H$11,"",W40+U40+V40)</f>
        <v>79.694808224668122</v>
      </c>
      <c r="Y40" s="88">
        <f t="shared" ref="Y40:Y48" si="21">IF(G39&gt;$H$11,"",U40*M40+V40*$H$19+W40*$H$14)</f>
        <v>15.397794355605244</v>
      </c>
      <c r="Z40" s="88">
        <f t="shared" ref="Z40:Z48" si="22">IF(G39&gt;$H$11,"",U40*N40+V40*$H$20+W40*$H$15)</f>
        <v>73.291652083810249</v>
      </c>
      <c r="AA40" s="88">
        <f t="shared" ref="AA40:AA48" si="23">IF(G39&gt;$H$11,"",U40*O40+V40*$H$21+W40*$H$16)</f>
        <v>25.7275134300418</v>
      </c>
      <c r="AB40" s="72">
        <f t="shared" ref="AB40:AB48" si="24">IF(G39&gt;$H$11,"",IF($H$22="Lég",($M$16*H40+$M$17),IF($H$22="Gram",(($L$16*H40+$L$17)))))</f>
        <v>18.988439950714749</v>
      </c>
      <c r="AC40" s="87">
        <f t="shared" ref="AC40:AC48" si="25">IF(G39&gt;$H$11,"",IF($H$22="Lég",(Y40-($M$8*H40+$M$9))/($M$8*H40+$M$9),IF($H$22="Gram",(Y40-($L$8*H40+$L$9))/($L$8*H40+$L$9))))</f>
        <v>-0.39178810291907817</v>
      </c>
      <c r="AD40" s="87">
        <f t="shared" ref="AD40:AD48" si="26">IF(G39&gt;$H$11,"",IF($H$22="Lég",(Z40-($M$10*H40+$M$11))/($M$10*H40+$M$11),IF($H$22="Gram",(Z40-($L$10*H40+$L$11))/($L$10*H40+$L$11))))</f>
        <v>-0.35013392360155443</v>
      </c>
      <c r="AE40" s="72">
        <f t="shared" ref="AE40:AE48" si="27">IF(G39&gt;$H$11,"",AB40+IF($H$22="Lég",($M$18*MIN(AC40:AD40)+$M$19),$L$18*MIN(AC40:AD40)+$L$19)*AB40)</f>
        <v>16.12357516678421</v>
      </c>
    </row>
    <row r="41" spans="1:35" x14ac:dyDescent="0.25">
      <c r="A41" s="56"/>
      <c r="B41" s="67">
        <f t="shared" ref="B41:B48" si="28">B40+1</f>
        <v>3</v>
      </c>
      <c r="C41" s="68">
        <f t="shared" ref="C41:C48" si="29">C40+7</f>
        <v>42374</v>
      </c>
      <c r="D41" s="62">
        <f t="shared" ref="D41:D48" si="30">IF(E40&lt;&gt;"",D40-E40,D40)</f>
        <v>96.666666666666671</v>
      </c>
      <c r="E41" s="62">
        <f t="shared" si="4"/>
        <v>6.6666666666666661</v>
      </c>
      <c r="F41" s="69">
        <f t="shared" si="5"/>
        <v>57</v>
      </c>
      <c r="G41" s="70">
        <f t="shared" ref="G41:G48" si="31">IF(G40&gt;$H$11,"",G40+AE40*7/1000)</f>
        <v>1.7185717880447475</v>
      </c>
      <c r="H41" s="71">
        <f t="shared" si="6"/>
        <v>1.500982948623524</v>
      </c>
      <c r="I41" s="57">
        <v>2.4</v>
      </c>
      <c r="J41" s="80">
        <f t="shared" si="7"/>
        <v>240</v>
      </c>
      <c r="K41" s="62">
        <f t="shared" si="8"/>
        <v>99.310344827586206</v>
      </c>
      <c r="L41" s="57">
        <v>274.10000000000002</v>
      </c>
      <c r="M41" s="85">
        <f t="shared" si="9"/>
        <v>0.18882751830368572</v>
      </c>
      <c r="N41" s="87">
        <f t="shared" si="10"/>
        <v>0.96</v>
      </c>
      <c r="O41" s="86">
        <f t="shared" si="11"/>
        <v>0.38858852628508156</v>
      </c>
      <c r="P41" s="72">
        <f t="shared" si="12"/>
        <v>114.79771507780566</v>
      </c>
      <c r="Q41" s="72">
        <f t="shared" si="13"/>
        <v>100.68738400072721</v>
      </c>
      <c r="R41" s="72">
        <f t="shared" si="14"/>
        <v>67.066328509298074</v>
      </c>
      <c r="S41" s="72">
        <f t="shared" si="15"/>
        <v>67.066328509298074</v>
      </c>
      <c r="T41" s="87">
        <f t="shared" si="16"/>
        <v>0.67401485464400457</v>
      </c>
      <c r="U41" s="88">
        <f t="shared" si="17"/>
        <v>66.936647633611486</v>
      </c>
      <c r="V41" s="88">
        <f t="shared" si="18"/>
        <v>0</v>
      </c>
      <c r="W41" s="88">
        <f t="shared" si="19"/>
        <v>17.707999999999998</v>
      </c>
      <c r="X41" s="88">
        <f t="shared" si="20"/>
        <v>84.644647633611484</v>
      </c>
      <c r="Y41" s="88">
        <f t="shared" si="21"/>
        <v>15.561301056223135</v>
      </c>
      <c r="Z41" s="88">
        <f t="shared" si="22"/>
        <v>78.106837728267024</v>
      </c>
      <c r="AA41" s="88">
        <f t="shared" si="23"/>
        <v>29.109713258408881</v>
      </c>
      <c r="AB41" s="72">
        <f t="shared" si="24"/>
        <v>20.189231370530479</v>
      </c>
      <c r="AC41" s="87">
        <f t="shared" si="25"/>
        <v>-0.3673956098670455</v>
      </c>
      <c r="AD41" s="87">
        <f t="shared" si="26"/>
        <v>-0.29319904824397341</v>
      </c>
      <c r="AE41" s="72">
        <f t="shared" si="27"/>
        <v>17.285077562981705</v>
      </c>
    </row>
    <row r="42" spans="1:35" x14ac:dyDescent="0.25">
      <c r="A42" s="56"/>
      <c r="B42" s="67">
        <f t="shared" si="28"/>
        <v>4</v>
      </c>
      <c r="C42" s="68">
        <f t="shared" si="29"/>
        <v>42381</v>
      </c>
      <c r="D42" s="62">
        <f t="shared" si="30"/>
        <v>90</v>
      </c>
      <c r="E42" s="62">
        <f t="shared" si="4"/>
        <v>3.333333333333333</v>
      </c>
      <c r="F42" s="69">
        <f t="shared" si="5"/>
        <v>64</v>
      </c>
      <c r="G42" s="70">
        <f t="shared" si="31"/>
        <v>1.8395673309856195</v>
      </c>
      <c r="H42" s="71">
        <f t="shared" si="6"/>
        <v>1.5795623236631842</v>
      </c>
      <c r="I42" s="57">
        <v>2.7</v>
      </c>
      <c r="J42" s="80">
        <f t="shared" si="7"/>
        <v>270</v>
      </c>
      <c r="K42" s="62">
        <f t="shared" si="8"/>
        <v>120</v>
      </c>
      <c r="L42" s="57">
        <v>374.75</v>
      </c>
      <c r="M42" s="85">
        <f t="shared" si="9"/>
        <v>0.17643171209177055</v>
      </c>
      <c r="N42" s="87">
        <f t="shared" si="10"/>
        <v>0.96</v>
      </c>
      <c r="O42" s="86">
        <f t="shared" si="11"/>
        <v>0.41165857310734882</v>
      </c>
      <c r="P42" s="72">
        <f t="shared" si="12"/>
        <v>118.57575400262849</v>
      </c>
      <c r="Q42" s="72">
        <f t="shared" si="13"/>
        <v>98.192898110796307</v>
      </c>
      <c r="R42" s="72">
        <f t="shared" si="14"/>
        <v>63.242648535049661</v>
      </c>
      <c r="S42" s="72">
        <f t="shared" si="15"/>
        <v>63.242648535049661</v>
      </c>
      <c r="T42" s="87">
        <f t="shared" si="16"/>
        <v>0.63682307240634572</v>
      </c>
      <c r="U42" s="88">
        <f t="shared" si="17"/>
        <v>63.242648535049661</v>
      </c>
      <c r="V42" s="88">
        <f t="shared" si="18"/>
        <v>0</v>
      </c>
      <c r="W42" s="88">
        <f t="shared" si="19"/>
        <v>17.707999999999998</v>
      </c>
      <c r="X42" s="88">
        <f t="shared" si="20"/>
        <v>80.950648535049652</v>
      </c>
      <c r="Y42" s="88">
        <f t="shared" si="21"/>
        <v>14.079828758256916</v>
      </c>
      <c r="Z42" s="88">
        <f t="shared" si="22"/>
        <v>74.560598593647669</v>
      </c>
      <c r="AA42" s="88">
        <f t="shared" si="23"/>
        <v>29.133278455468108</v>
      </c>
      <c r="AB42" s="72">
        <f t="shared" si="24"/>
        <v>21.454830784919245</v>
      </c>
      <c r="AC42" s="87">
        <f t="shared" si="25"/>
        <v>-0.40946120160008037</v>
      </c>
      <c r="AD42" s="87">
        <f t="shared" si="26"/>
        <v>-0.31034463765422177</v>
      </c>
      <c r="AE42" s="72">
        <f t="shared" si="27"/>
        <v>18.108611534536987</v>
      </c>
    </row>
    <row r="43" spans="1:35" x14ac:dyDescent="0.25">
      <c r="A43" s="56"/>
      <c r="B43" s="67">
        <f t="shared" si="28"/>
        <v>5</v>
      </c>
      <c r="C43" s="68">
        <f t="shared" si="29"/>
        <v>42388</v>
      </c>
      <c r="D43" s="62">
        <f t="shared" si="30"/>
        <v>86.666666666666671</v>
      </c>
      <c r="E43" s="62">
        <f t="shared" si="4"/>
        <v>0</v>
      </c>
      <c r="F43" s="69">
        <f t="shared" si="5"/>
        <v>71</v>
      </c>
      <c r="G43" s="70">
        <f t="shared" si="31"/>
        <v>1.9663276117273785</v>
      </c>
      <c r="H43" s="71">
        <f t="shared" si="6"/>
        <v>1.6605115788538602</v>
      </c>
      <c r="I43" s="57">
        <v>3.1</v>
      </c>
      <c r="J43" s="80">
        <f t="shared" si="7"/>
        <v>310</v>
      </c>
      <c r="K43" s="62">
        <f t="shared" si="8"/>
        <v>143.07692307692307</v>
      </c>
      <c r="L43" s="57">
        <v>489.1</v>
      </c>
      <c r="M43" s="85">
        <f t="shared" si="9"/>
        <v>0.1633219015005572</v>
      </c>
      <c r="N43" s="87">
        <f t="shared" si="10"/>
        <v>0.96</v>
      </c>
      <c r="O43" s="86">
        <f t="shared" si="11"/>
        <v>0.43562494685262848</v>
      </c>
      <c r="P43" s="72">
        <f t="shared" si="12"/>
        <v>123.32250054102266</v>
      </c>
      <c r="Q43" s="72">
        <f t="shared" si="13"/>
        <v>95.62318086919646</v>
      </c>
      <c r="R43" s="72">
        <f t="shared" si="14"/>
        <v>62.905743823868164</v>
      </c>
      <c r="S43" s="72">
        <f t="shared" si="15"/>
        <v>62.905743823868164</v>
      </c>
      <c r="T43" s="87">
        <f t="shared" si="16"/>
        <v>0.60963826005693367</v>
      </c>
      <c r="U43" s="88">
        <f t="shared" si="17"/>
        <v>62.905743823868164</v>
      </c>
      <c r="V43" s="88">
        <f t="shared" si="18"/>
        <v>0</v>
      </c>
      <c r="W43" s="88">
        <f t="shared" si="19"/>
        <v>17.707999999999998</v>
      </c>
      <c r="X43" s="88">
        <f t="shared" si="20"/>
        <v>80.613743823868163</v>
      </c>
      <c r="Y43" s="88">
        <f t="shared" si="21"/>
        <v>13.195705696621081</v>
      </c>
      <c r="Z43" s="88">
        <f t="shared" si="22"/>
        <v>74.237170070913436</v>
      </c>
      <c r="AA43" s="88">
        <f t="shared" si="23"/>
        <v>30.50221130999763</v>
      </c>
      <c r="AB43" s="72">
        <f t="shared" si="24"/>
        <v>22.758599489020277</v>
      </c>
      <c r="AC43" s="87">
        <f t="shared" si="25"/>
        <v>-0.42784299962946254</v>
      </c>
      <c r="AD43" s="87">
        <f t="shared" si="26"/>
        <v>-0.29730199372791882</v>
      </c>
      <c r="AE43" s="72">
        <f t="shared" si="27"/>
        <v>19.08851204553881</v>
      </c>
    </row>
    <row r="44" spans="1:35" x14ac:dyDescent="0.25">
      <c r="A44" s="56"/>
      <c r="B44" s="67">
        <f t="shared" si="28"/>
        <v>6</v>
      </c>
      <c r="C44" s="68">
        <f t="shared" si="29"/>
        <v>42395</v>
      </c>
      <c r="D44" s="62">
        <f t="shared" si="30"/>
        <v>86.666666666666671</v>
      </c>
      <c r="E44" s="62">
        <f t="shared" si="4"/>
        <v>0</v>
      </c>
      <c r="F44" s="69">
        <f t="shared" si="5"/>
        <v>78</v>
      </c>
      <c r="G44" s="70">
        <f t="shared" si="31"/>
        <v>2.0999471960461502</v>
      </c>
      <c r="H44" s="71">
        <f t="shared" si="6"/>
        <v>1.7444409812667714</v>
      </c>
      <c r="I44" s="57">
        <v>3.4</v>
      </c>
      <c r="J44" s="80">
        <f t="shared" si="7"/>
        <v>340</v>
      </c>
      <c r="K44" s="62">
        <f t="shared" si="8"/>
        <v>156.92307692307691</v>
      </c>
      <c r="L44" s="57">
        <v>578.70000000000005</v>
      </c>
      <c r="M44" s="85">
        <f t="shared" si="9"/>
        <v>0.15372562223909852</v>
      </c>
      <c r="N44" s="87">
        <f t="shared" si="10"/>
        <v>0.96</v>
      </c>
      <c r="O44" s="86">
        <f t="shared" si="11"/>
        <v>0.45287159728327708</v>
      </c>
      <c r="P44" s="72">
        <f t="shared" si="12"/>
        <v>125.76510416568797</v>
      </c>
      <c r="Q44" s="72">
        <f t="shared" si="13"/>
        <v>95.10241326938548</v>
      </c>
      <c r="R44" s="72">
        <f t="shared" si="14"/>
        <v>63.644179955435433</v>
      </c>
      <c r="S44" s="72">
        <f t="shared" si="15"/>
        <v>63.644179955435433</v>
      </c>
      <c r="T44" s="87">
        <f t="shared" si="16"/>
        <v>0.59753282297950672</v>
      </c>
      <c r="U44" s="88">
        <f t="shared" si="17"/>
        <v>63.644179955435433</v>
      </c>
      <c r="V44" s="88">
        <f t="shared" si="18"/>
        <v>0</v>
      </c>
      <c r="W44" s="88">
        <f t="shared" si="19"/>
        <v>17.707999999999998</v>
      </c>
      <c r="X44" s="88">
        <f t="shared" si="20"/>
        <v>81.352179955435432</v>
      </c>
      <c r="Y44" s="88">
        <f t="shared" si="21"/>
        <v>12.705561165546474</v>
      </c>
      <c r="Z44" s="88">
        <f t="shared" si="22"/>
        <v>74.946068757218015</v>
      </c>
      <c r="AA44" s="88">
        <f t="shared" si="23"/>
        <v>31.921541434202371</v>
      </c>
      <c r="AB44" s="72">
        <f t="shared" si="24"/>
        <v>24.110366444282626</v>
      </c>
      <c r="AC44" s="87">
        <f t="shared" si="25"/>
        <v>-0.42909540011606678</v>
      </c>
      <c r="AD44" s="87">
        <f t="shared" si="26"/>
        <v>-0.27299053586278121</v>
      </c>
      <c r="AE44" s="72">
        <f t="shared" si="27"/>
        <v>20.213591521796172</v>
      </c>
    </row>
    <row r="45" spans="1:35" x14ac:dyDescent="0.25">
      <c r="A45" s="56"/>
      <c r="B45" s="67">
        <f t="shared" si="28"/>
        <v>7</v>
      </c>
      <c r="C45" s="68">
        <f t="shared" si="29"/>
        <v>42402</v>
      </c>
      <c r="D45" s="62">
        <f t="shared" si="30"/>
        <v>86.666666666666671</v>
      </c>
      <c r="E45" s="62">
        <f t="shared" si="4"/>
        <v>1.6666666666666665</v>
      </c>
      <c r="F45" s="69">
        <f t="shared" si="5"/>
        <v>85</v>
      </c>
      <c r="G45" s="70">
        <f t="shared" si="31"/>
        <v>2.2414423366987233</v>
      </c>
      <c r="H45" s="71">
        <f t="shared" si="6"/>
        <v>1.8318743345531971</v>
      </c>
      <c r="I45" s="57">
        <v>3.8</v>
      </c>
      <c r="J45" s="80">
        <f t="shared" si="7"/>
        <v>380</v>
      </c>
      <c r="K45" s="62">
        <f t="shared" si="8"/>
        <v>175.38461538461539</v>
      </c>
      <c r="L45" s="57">
        <v>668.2</v>
      </c>
      <c r="M45" s="85">
        <f t="shared" si="9"/>
        <v>0.14469556758360189</v>
      </c>
      <c r="N45" s="87">
        <f t="shared" si="10"/>
        <v>0.96</v>
      </c>
      <c r="O45" s="86">
        <f t="shared" si="11"/>
        <v>0.46886019353421959</v>
      </c>
      <c r="P45" s="72">
        <f t="shared" si="12"/>
        <v>127.79687745265308</v>
      </c>
      <c r="Q45" s="72">
        <f t="shared" si="13"/>
        <v>98.449198095652434</v>
      </c>
      <c r="R45" s="72">
        <f t="shared" si="14"/>
        <v>64.627424740884081</v>
      </c>
      <c r="S45" s="72">
        <f t="shared" si="15"/>
        <v>64.627424740884081</v>
      </c>
      <c r="T45" s="87">
        <f t="shared" si="16"/>
        <v>0.58314862317092975</v>
      </c>
      <c r="U45" s="88">
        <f t="shared" si="17"/>
        <v>64.627424740884081</v>
      </c>
      <c r="V45" s="88">
        <f t="shared" si="18"/>
        <v>0</v>
      </c>
      <c r="W45" s="88">
        <f t="shared" si="19"/>
        <v>17.707999999999998</v>
      </c>
      <c r="X45" s="88">
        <f t="shared" si="20"/>
        <v>82.335424740884079</v>
      </c>
      <c r="Y45" s="88">
        <f t="shared" si="21"/>
        <v>12.273121904348738</v>
      </c>
      <c r="Z45" s="88">
        <f t="shared" si="22"/>
        <v>75.889983751248707</v>
      </c>
      <c r="AA45" s="88">
        <f t="shared" si="23"/>
        <v>33.400126871629119</v>
      </c>
      <c r="AB45" s="72">
        <f t="shared" si="24"/>
        <v>25.518568032313794</v>
      </c>
      <c r="AC45" s="87">
        <f t="shared" si="25"/>
        <v>-0.42685017183423335</v>
      </c>
      <c r="AD45" s="87">
        <f t="shared" si="26"/>
        <v>-0.24430152532477578</v>
      </c>
      <c r="AE45" s="72">
        <f t="shared" si="27"/>
        <v>21.410702903498581</v>
      </c>
    </row>
    <row r="46" spans="1:35" x14ac:dyDescent="0.25">
      <c r="A46" s="56"/>
      <c r="B46" s="67">
        <f t="shared" si="28"/>
        <v>8</v>
      </c>
      <c r="C46" s="68">
        <f t="shared" si="29"/>
        <v>42409</v>
      </c>
      <c r="D46" s="62">
        <f t="shared" si="30"/>
        <v>85</v>
      </c>
      <c r="E46" s="62">
        <f t="shared" si="4"/>
        <v>3.333333333333333</v>
      </c>
      <c r="F46" s="69">
        <f t="shared" si="5"/>
        <v>92</v>
      </c>
      <c r="G46" s="70">
        <f t="shared" si="31"/>
        <v>2.3913172570232133</v>
      </c>
      <c r="H46" s="71">
        <f t="shared" si="6"/>
        <v>1.9229938640120929</v>
      </c>
      <c r="I46" s="57">
        <v>4.5</v>
      </c>
      <c r="J46" s="80">
        <f t="shared" si="7"/>
        <v>450</v>
      </c>
      <c r="K46" s="62">
        <f t="shared" si="8"/>
        <v>211.76470588235293</v>
      </c>
      <c r="L46" s="57">
        <v>787.95</v>
      </c>
      <c r="M46" s="85">
        <f t="shared" si="9"/>
        <v>0.13342614332981559</v>
      </c>
      <c r="N46" s="87">
        <f t="shared" si="10"/>
        <v>0.96</v>
      </c>
      <c r="O46" s="86">
        <f t="shared" si="11"/>
        <v>0.48847018049791957</v>
      </c>
      <c r="P46" s="72">
        <f t="shared" si="12"/>
        <v>132.01670323743392</v>
      </c>
      <c r="Q46" s="72">
        <f t="shared" si="13"/>
        <v>101.93708283422124</v>
      </c>
      <c r="R46" s="72">
        <f t="shared" si="14"/>
        <v>65.187498655189913</v>
      </c>
      <c r="S46" s="72">
        <f t="shared" si="15"/>
        <v>65.187498655189913</v>
      </c>
      <c r="T46" s="87">
        <f t="shared" si="16"/>
        <v>0.55616878976146933</v>
      </c>
      <c r="U46" s="88">
        <f t="shared" si="17"/>
        <v>65.187498655189913</v>
      </c>
      <c r="V46" s="88">
        <f t="shared" si="18"/>
        <v>0</v>
      </c>
      <c r="W46" s="88">
        <f t="shared" si="19"/>
        <v>17.707999999999998</v>
      </c>
      <c r="X46" s="88">
        <f t="shared" si="20"/>
        <v>82.895498655189911</v>
      </c>
      <c r="Y46" s="88">
        <f t="shared" si="21"/>
        <v>11.619536538879531</v>
      </c>
      <c r="Z46" s="88">
        <f t="shared" si="22"/>
        <v>76.427654708982317</v>
      </c>
      <c r="AA46" s="88">
        <f t="shared" si="23"/>
        <v>34.941049234308501</v>
      </c>
      <c r="AB46" s="72">
        <f t="shared" si="24"/>
        <v>26.986139173778774</v>
      </c>
      <c r="AC46" s="87">
        <f t="shared" si="25"/>
        <v>-0.43419521611694223</v>
      </c>
      <c r="AD46" s="87">
        <f t="shared" si="26"/>
        <v>-0.21730477131953113</v>
      </c>
      <c r="AE46" s="72">
        <f t="shared" si="27"/>
        <v>22.584925431074531</v>
      </c>
    </row>
    <row r="47" spans="1:35" x14ac:dyDescent="0.25">
      <c r="A47" s="56"/>
      <c r="B47" s="67">
        <f t="shared" si="28"/>
        <v>9</v>
      </c>
      <c r="C47" s="68">
        <f t="shared" si="29"/>
        <v>42416</v>
      </c>
      <c r="D47" s="62">
        <f t="shared" si="30"/>
        <v>81.666666666666671</v>
      </c>
      <c r="E47" s="62">
        <f t="shared" si="4"/>
        <v>1.6666666666666665</v>
      </c>
      <c r="F47" s="69">
        <f t="shared" si="5"/>
        <v>99</v>
      </c>
      <c r="G47" s="72">
        <f t="shared" si="31"/>
        <v>2.549411735040735</v>
      </c>
      <c r="H47" s="73">
        <f t="shared" si="6"/>
        <v>2.0175763822809483</v>
      </c>
      <c r="I47" s="57">
        <v>5</v>
      </c>
      <c r="J47" s="80">
        <f t="shared" si="7"/>
        <v>500</v>
      </c>
      <c r="K47" s="80">
        <f t="shared" si="8"/>
        <v>244.89795918367346</v>
      </c>
      <c r="L47" s="57">
        <v>913.45</v>
      </c>
      <c r="M47" s="85">
        <f t="shared" si="9"/>
        <v>0.12254241484784173</v>
      </c>
      <c r="N47" s="87">
        <f t="shared" si="10"/>
        <v>0.96</v>
      </c>
      <c r="O47" s="86">
        <f t="shared" si="11"/>
        <v>0.5070261546634216</v>
      </c>
      <c r="P47" s="72">
        <f t="shared" si="12"/>
        <v>136.31183110528241</v>
      </c>
      <c r="Q47" s="72">
        <f t="shared" si="13"/>
        <v>105.55752429133125</v>
      </c>
      <c r="R47" s="72">
        <f t="shared" si="14"/>
        <v>65.956428269371287</v>
      </c>
      <c r="S47" s="72">
        <f t="shared" si="15"/>
        <v>65.956428269371287</v>
      </c>
      <c r="T47" s="87">
        <f t="shared" si="16"/>
        <v>0.53612290734252555</v>
      </c>
      <c r="U47" s="88">
        <f t="shared" si="17"/>
        <v>65.956428269371287</v>
      </c>
      <c r="V47" s="88">
        <f t="shared" si="18"/>
        <v>0</v>
      </c>
      <c r="W47" s="88">
        <f t="shared" si="19"/>
        <v>17.707999999999998</v>
      </c>
      <c r="X47" s="88">
        <f t="shared" si="20"/>
        <v>83.664428269371285</v>
      </c>
      <c r="Y47" s="88">
        <f t="shared" si="21"/>
        <v>11.004279994867213</v>
      </c>
      <c r="Z47" s="88">
        <f t="shared" si="22"/>
        <v>77.165827138596427</v>
      </c>
      <c r="AA47" s="88">
        <f t="shared" si="23"/>
        <v>36.540534200753122</v>
      </c>
      <c r="AB47" s="72">
        <f t="shared" si="24"/>
        <v>28.509485213016958</v>
      </c>
      <c r="AC47" s="87">
        <f t="shared" si="25"/>
        <v>-0.43929524101698236</v>
      </c>
      <c r="AD47" s="87">
        <f t="shared" si="26"/>
        <v>-0.18570834708133915</v>
      </c>
      <c r="AE47" s="72">
        <f t="shared" si="27"/>
        <v>23.817936987562877</v>
      </c>
    </row>
    <row r="48" spans="1:35" x14ac:dyDescent="0.25">
      <c r="A48" s="58"/>
      <c r="B48" s="74">
        <f t="shared" si="28"/>
        <v>10</v>
      </c>
      <c r="C48" s="75">
        <f t="shared" si="29"/>
        <v>42423</v>
      </c>
      <c r="D48" s="76">
        <f t="shared" si="30"/>
        <v>80</v>
      </c>
      <c r="E48" s="76">
        <f t="shared" si="4"/>
        <v>0</v>
      </c>
      <c r="F48" s="77">
        <f t="shared" si="5"/>
        <v>106</v>
      </c>
      <c r="G48" s="78">
        <f t="shared" si="31"/>
        <v>2.716137293953675</v>
      </c>
      <c r="H48" s="78">
        <f t="shared" si="6"/>
        <v>2.1157472691788781</v>
      </c>
      <c r="I48" s="59">
        <v>5</v>
      </c>
      <c r="J48" s="76">
        <f t="shared" si="7"/>
        <v>500</v>
      </c>
      <c r="K48" s="76">
        <f t="shared" si="8"/>
        <v>250</v>
      </c>
      <c r="L48" s="59">
        <v>1000</v>
      </c>
      <c r="M48" s="89">
        <f t="shared" si="9"/>
        <v>0.11554983806985465</v>
      </c>
      <c r="N48" s="90">
        <f t="shared" si="10"/>
        <v>0.96</v>
      </c>
      <c r="O48" s="90">
        <f t="shared" si="11"/>
        <v>0.51873816918859916</v>
      </c>
      <c r="P48" s="78">
        <f t="shared" si="12"/>
        <v>136.38218085362092</v>
      </c>
      <c r="Q48" s="78">
        <f t="shared" si="13"/>
        <v>109.31532177137109</v>
      </c>
      <c r="R48" s="78">
        <f t="shared" si="14"/>
        <v>67.667667725298912</v>
      </c>
      <c r="S48" s="78">
        <f t="shared" si="15"/>
        <v>67.667667725298912</v>
      </c>
      <c r="T48" s="90">
        <f t="shared" si="16"/>
        <v>0.53687213495579045</v>
      </c>
      <c r="U48" s="78">
        <f t="shared" si="17"/>
        <v>67.667667725298912</v>
      </c>
      <c r="V48" s="78">
        <f t="shared" si="18"/>
        <v>0</v>
      </c>
      <c r="W48" s="78">
        <f t="shared" si="19"/>
        <v>17.707999999999998</v>
      </c>
      <c r="X48" s="78">
        <f t="shared" si="20"/>
        <v>85.375667725298911</v>
      </c>
      <c r="Y48" s="78">
        <f t="shared" si="21"/>
        <v>10.74080804822302</v>
      </c>
      <c r="Z48" s="78">
        <f t="shared" si="22"/>
        <v>78.808617016286959</v>
      </c>
      <c r="AA48" s="78">
        <f t="shared" si="23"/>
        <v>38.200702069084016</v>
      </c>
      <c r="AB48" s="78">
        <f t="shared" si="24"/>
        <v>30.090625517395019</v>
      </c>
      <c r="AC48" s="90">
        <f t="shared" si="25"/>
        <v>-0.42503363497695024</v>
      </c>
      <c r="AD48" s="90">
        <f t="shared" si="26"/>
        <v>-0.14126203983487393</v>
      </c>
      <c r="AE48" s="78">
        <f t="shared" si="27"/>
        <v>25.262518747531857</v>
      </c>
    </row>
  </sheetData>
  <sheetProtection sheet="1" objects="1" scenarios="1" formatColumns="0" formatRows="0" insertColumns="0" insertRows="0" insertHyperlinks="0" deleteColumns="0" deleteRows="0" selectLockedCells="1" sort="0"/>
  <sortState ref="AJ10:AJ66">
    <sortCondition ref="AJ10"/>
  </sortState>
  <mergeCells count="47">
    <mergeCell ref="A27:A34"/>
    <mergeCell ref="C23:F23"/>
    <mergeCell ref="C17:F17"/>
    <mergeCell ref="C24:F24"/>
    <mergeCell ref="A12:A26"/>
    <mergeCell ref="B12:B16"/>
    <mergeCell ref="B17:B21"/>
    <mergeCell ref="B22:B26"/>
    <mergeCell ref="B27:B29"/>
    <mergeCell ref="J14:J15"/>
    <mergeCell ref="C9:F9"/>
    <mergeCell ref="AB24:AE24"/>
    <mergeCell ref="AC18:AD18"/>
    <mergeCell ref="AE18:AF18"/>
    <mergeCell ref="C18:F18"/>
    <mergeCell ref="L22:M22"/>
    <mergeCell ref="J16:J17"/>
    <mergeCell ref="L24:O25"/>
    <mergeCell ref="C25:F25"/>
    <mergeCell ref="C12:F12"/>
    <mergeCell ref="C13:F13"/>
    <mergeCell ref="J12:J13"/>
    <mergeCell ref="J18:J19"/>
    <mergeCell ref="B10:B11"/>
    <mergeCell ref="C11:F11"/>
    <mergeCell ref="C10:F10"/>
    <mergeCell ref="J5:M6"/>
    <mergeCell ref="O5:Q6"/>
    <mergeCell ref="P7:Q7"/>
    <mergeCell ref="C8:F8"/>
    <mergeCell ref="A6:H6"/>
    <mergeCell ref="C7:F7"/>
    <mergeCell ref="A8:A11"/>
    <mergeCell ref="B8:B9"/>
    <mergeCell ref="O7:O8"/>
    <mergeCell ref="J10:J11"/>
    <mergeCell ref="J8:J9"/>
    <mergeCell ref="AC33:AD33"/>
    <mergeCell ref="B36:H36"/>
    <mergeCell ref="L29:L30"/>
    <mergeCell ref="L27:L28"/>
    <mergeCell ref="B30:B32"/>
    <mergeCell ref="B33:B34"/>
    <mergeCell ref="P36:AA36"/>
    <mergeCell ref="I36:O36"/>
    <mergeCell ref="AB28:AE28"/>
    <mergeCell ref="AB32:AE32"/>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AJ51"/>
  <sheetViews>
    <sheetView zoomScale="60" zoomScaleNormal="60" workbookViewId="0">
      <selection activeCell="H15" sqref="H15"/>
    </sheetView>
  </sheetViews>
  <sheetFormatPr baseColWidth="10" defaultRowHeight="15" x14ac:dyDescent="0.25"/>
  <cols>
    <col min="1" max="1" width="9.140625" style="126" customWidth="1"/>
    <col min="2" max="2" width="12.42578125" style="126" customWidth="1"/>
    <col min="3" max="3" width="12.140625" style="126" customWidth="1"/>
    <col min="4" max="4" width="10.28515625" style="126" customWidth="1"/>
    <col min="5" max="5" width="12.140625" style="126" customWidth="1"/>
    <col min="6" max="6" width="13.7109375" style="126" customWidth="1"/>
    <col min="7" max="7" width="15.7109375" style="126" customWidth="1"/>
    <col min="8" max="9" width="15" style="126" customWidth="1"/>
    <col min="10" max="10" width="12.28515625" style="126" customWidth="1"/>
    <col min="11" max="11" width="11.140625" style="126" customWidth="1"/>
    <col min="12" max="14" width="12.28515625" style="126" customWidth="1"/>
    <col min="15" max="16" width="12.85546875" style="126" customWidth="1"/>
    <col min="17" max="17" width="17.42578125" style="126" customWidth="1"/>
    <col min="18" max="18" width="13.28515625" style="126" customWidth="1"/>
    <col min="19" max="30" width="12.85546875" style="126" customWidth="1"/>
    <col min="31" max="31" width="11.42578125" style="126"/>
    <col min="32" max="34" width="14" style="126" customWidth="1"/>
    <col min="35" max="35" width="14.28515625" style="126" customWidth="1"/>
    <col min="36" max="16384" width="11.42578125" style="126"/>
  </cols>
  <sheetData>
    <row r="1" spans="1:23" ht="23.25" x14ac:dyDescent="0.35">
      <c r="A1" s="125" t="s">
        <v>163</v>
      </c>
    </row>
    <row r="3" spans="1:23" ht="15.75" x14ac:dyDescent="0.25">
      <c r="A3" s="127" t="s">
        <v>57</v>
      </c>
    </row>
    <row r="4" spans="1:23" x14ac:dyDescent="0.25">
      <c r="A4" s="128"/>
      <c r="B4" s="126" t="s">
        <v>56</v>
      </c>
      <c r="D4" s="129"/>
      <c r="E4" s="126" t="s">
        <v>20</v>
      </c>
    </row>
    <row r="5" spans="1:23" ht="15" customHeight="1" x14ac:dyDescent="0.3">
      <c r="K5" s="324" t="s">
        <v>120</v>
      </c>
      <c r="L5" s="324"/>
      <c r="M5" s="324"/>
      <c r="N5" s="324"/>
      <c r="P5" s="324" t="s">
        <v>121</v>
      </c>
      <c r="Q5" s="324"/>
      <c r="R5" s="324"/>
      <c r="S5" s="130"/>
    </row>
    <row r="6" spans="1:23" ht="18.75" customHeight="1" x14ac:dyDescent="0.3">
      <c r="A6" s="328" t="s">
        <v>52</v>
      </c>
      <c r="B6" s="329"/>
      <c r="C6" s="329"/>
      <c r="D6" s="329"/>
      <c r="E6" s="329"/>
      <c r="F6" s="329"/>
      <c r="G6" s="329"/>
      <c r="H6" s="330"/>
      <c r="K6" s="325"/>
      <c r="L6" s="325"/>
      <c r="M6" s="325"/>
      <c r="N6" s="325"/>
      <c r="P6" s="325"/>
      <c r="Q6" s="325"/>
      <c r="R6" s="325"/>
      <c r="S6" s="130"/>
      <c r="U6" s="131">
        <v>1</v>
      </c>
      <c r="V6" s="132">
        <f>Q26</f>
        <v>5</v>
      </c>
    </row>
    <row r="7" spans="1:23" ht="15" customHeight="1" x14ac:dyDescent="0.25">
      <c r="A7" s="133" t="s">
        <v>23</v>
      </c>
      <c r="B7" s="134" t="s">
        <v>24</v>
      </c>
      <c r="C7" s="331" t="s">
        <v>22</v>
      </c>
      <c r="D7" s="332"/>
      <c r="E7" s="332"/>
      <c r="F7" s="333"/>
      <c r="G7" s="135" t="s">
        <v>11</v>
      </c>
      <c r="H7" s="135" t="s">
        <v>12</v>
      </c>
      <c r="K7" s="136"/>
      <c r="L7" s="137"/>
      <c r="M7" s="138" t="s">
        <v>95</v>
      </c>
      <c r="N7" s="139" t="s">
        <v>94</v>
      </c>
      <c r="P7" s="334" t="s">
        <v>115</v>
      </c>
      <c r="Q7" s="336" t="s">
        <v>117</v>
      </c>
      <c r="R7" s="337"/>
      <c r="U7" s="131">
        <v>2</v>
      </c>
      <c r="V7" s="132">
        <f t="shared" ref="V7:V17" si="0">Q27</f>
        <v>12</v>
      </c>
      <c r="W7" s="140"/>
    </row>
    <row r="8" spans="1:23" ht="15" customHeight="1" x14ac:dyDescent="0.25">
      <c r="A8" s="306" t="s">
        <v>5</v>
      </c>
      <c r="B8" s="309" t="s">
        <v>13</v>
      </c>
      <c r="C8" s="326" t="s">
        <v>29</v>
      </c>
      <c r="D8" s="326"/>
      <c r="E8" s="326"/>
      <c r="F8" s="326"/>
      <c r="G8" s="135" t="s">
        <v>14</v>
      </c>
      <c r="H8" s="15">
        <v>61</v>
      </c>
      <c r="K8" s="295" t="s">
        <v>119</v>
      </c>
      <c r="L8" s="141" t="s">
        <v>102</v>
      </c>
      <c r="M8" s="142">
        <v>3.8451</v>
      </c>
      <c r="N8" s="142">
        <v>-9.6265000000000001</v>
      </c>
      <c r="P8" s="335"/>
      <c r="Q8" s="143" t="s">
        <v>113</v>
      </c>
      <c r="R8" s="139" t="s">
        <v>114</v>
      </c>
      <c r="U8" s="131">
        <v>3</v>
      </c>
      <c r="V8" s="132">
        <f t="shared" si="0"/>
        <v>23</v>
      </c>
    </row>
    <row r="9" spans="1:23" ht="15" customHeight="1" x14ac:dyDescent="0.25">
      <c r="A9" s="307"/>
      <c r="B9" s="311"/>
      <c r="C9" s="326" t="s">
        <v>32</v>
      </c>
      <c r="D9" s="326"/>
      <c r="E9" s="326"/>
      <c r="F9" s="326"/>
      <c r="G9" s="135" t="s">
        <v>15</v>
      </c>
      <c r="H9" s="18">
        <v>42360</v>
      </c>
      <c r="K9" s="296"/>
      <c r="L9" s="144" t="s">
        <v>103</v>
      </c>
      <c r="M9" s="145">
        <v>10.36</v>
      </c>
      <c r="N9" s="146">
        <v>39.048000000000002</v>
      </c>
      <c r="P9" s="131">
        <v>1</v>
      </c>
      <c r="Q9" s="131">
        <v>0</v>
      </c>
      <c r="R9" s="145">
        <v>0</v>
      </c>
      <c r="U9" s="131">
        <v>4</v>
      </c>
      <c r="V9" s="132">
        <f t="shared" si="0"/>
        <v>54</v>
      </c>
    </row>
    <row r="10" spans="1:23" ht="15" customHeight="1" x14ac:dyDescent="0.25">
      <c r="A10" s="307"/>
      <c r="B10" s="309" t="s">
        <v>30</v>
      </c>
      <c r="C10" s="326" t="s">
        <v>54</v>
      </c>
      <c r="D10" s="326"/>
      <c r="E10" s="326"/>
      <c r="F10" s="326"/>
      <c r="G10" s="135" t="s">
        <v>9</v>
      </c>
      <c r="H10" s="20">
        <v>1.3</v>
      </c>
      <c r="K10" s="295" t="s">
        <v>96</v>
      </c>
      <c r="L10" s="141" t="s">
        <v>97</v>
      </c>
      <c r="M10" s="142">
        <v>36.747</v>
      </c>
      <c r="N10" s="145">
        <v>-30.475000000000001</v>
      </c>
      <c r="P10" s="131">
        <v>2</v>
      </c>
      <c r="Q10" s="131">
        <v>0.25</v>
      </c>
      <c r="R10" s="145">
        <v>0.16666666666666666</v>
      </c>
      <c r="T10" s="147"/>
      <c r="U10" s="131">
        <v>5</v>
      </c>
      <c r="V10" s="132">
        <f t="shared" si="0"/>
        <v>65</v>
      </c>
    </row>
    <row r="11" spans="1:23" ht="15" customHeight="1" x14ac:dyDescent="0.25">
      <c r="A11" s="308"/>
      <c r="B11" s="311"/>
      <c r="C11" s="326" t="s">
        <v>55</v>
      </c>
      <c r="D11" s="326"/>
      <c r="E11" s="326"/>
      <c r="F11" s="326"/>
      <c r="G11" s="135" t="s">
        <v>9</v>
      </c>
      <c r="H11" s="20">
        <v>2.452</v>
      </c>
      <c r="K11" s="296"/>
      <c r="L11" s="144" t="s">
        <v>98</v>
      </c>
      <c r="M11" s="148">
        <v>41.042999999999999</v>
      </c>
      <c r="N11" s="148">
        <v>156.25</v>
      </c>
      <c r="P11" s="131">
        <v>3</v>
      </c>
      <c r="Q11" s="131">
        <v>0.5</v>
      </c>
      <c r="R11" s="145">
        <v>0.33333333333333331</v>
      </c>
      <c r="T11" s="147"/>
      <c r="U11" s="131">
        <v>6</v>
      </c>
      <c r="V11" s="132">
        <f t="shared" si="0"/>
        <v>42</v>
      </c>
    </row>
    <row r="12" spans="1:23" ht="15" customHeight="1" x14ac:dyDescent="0.25">
      <c r="A12" s="306" t="s">
        <v>51</v>
      </c>
      <c r="B12" s="309" t="s">
        <v>0</v>
      </c>
      <c r="C12" s="326" t="s">
        <v>1</v>
      </c>
      <c r="D12" s="326"/>
      <c r="E12" s="326"/>
      <c r="F12" s="326"/>
      <c r="G12" s="135" t="s">
        <v>6</v>
      </c>
      <c r="H12" s="24">
        <v>80</v>
      </c>
      <c r="K12" s="327" t="s">
        <v>99</v>
      </c>
      <c r="L12" s="144" t="s">
        <v>100</v>
      </c>
      <c r="M12" s="145">
        <v>16.911000000000001</v>
      </c>
      <c r="N12" s="145">
        <v>-6.7595000000000001</v>
      </c>
      <c r="P12" s="131">
        <v>4</v>
      </c>
      <c r="Q12" s="131">
        <v>0.25</v>
      </c>
      <c r="R12" s="145">
        <v>0.16666666666666666</v>
      </c>
      <c r="T12" s="147"/>
      <c r="U12" s="131">
        <v>7</v>
      </c>
      <c r="V12" s="132">
        <f t="shared" si="0"/>
        <v>18</v>
      </c>
    </row>
    <row r="13" spans="1:23" x14ac:dyDescent="0.25">
      <c r="A13" s="307"/>
      <c r="B13" s="310"/>
      <c r="C13" s="326" t="s">
        <v>18</v>
      </c>
      <c r="D13" s="326"/>
      <c r="E13" s="326"/>
      <c r="F13" s="326"/>
      <c r="G13" s="135" t="s">
        <v>10</v>
      </c>
      <c r="H13" s="25">
        <v>0.88539999999999996</v>
      </c>
      <c r="K13" s="296"/>
      <c r="L13" s="144" t="s">
        <v>101</v>
      </c>
      <c r="M13" s="145">
        <v>2.4213</v>
      </c>
      <c r="N13" s="145">
        <v>39.305999999999997</v>
      </c>
      <c r="P13" s="131">
        <v>5</v>
      </c>
      <c r="Q13" s="131">
        <v>0</v>
      </c>
      <c r="R13" s="145">
        <v>0</v>
      </c>
      <c r="T13" s="147"/>
      <c r="U13" s="131">
        <v>8</v>
      </c>
      <c r="V13" s="132">
        <f t="shared" si="0"/>
        <v>6</v>
      </c>
    </row>
    <row r="14" spans="1:23" x14ac:dyDescent="0.25">
      <c r="A14" s="307"/>
      <c r="B14" s="310"/>
      <c r="C14" s="149" t="s">
        <v>46</v>
      </c>
      <c r="D14" s="150"/>
      <c r="E14" s="150"/>
      <c r="F14" s="151"/>
      <c r="G14" s="135" t="s">
        <v>10</v>
      </c>
      <c r="H14" s="25">
        <v>0.16500000000000001</v>
      </c>
      <c r="K14" s="295" t="s">
        <v>118</v>
      </c>
      <c r="L14" s="141" t="s">
        <v>104</v>
      </c>
      <c r="M14" s="142">
        <v>2.4E-2</v>
      </c>
      <c r="N14" s="142">
        <v>-0.15</v>
      </c>
      <c r="P14" s="131">
        <v>6</v>
      </c>
      <c r="Q14" s="131">
        <v>0</v>
      </c>
      <c r="R14" s="145">
        <v>0</v>
      </c>
      <c r="U14" s="131">
        <v>9</v>
      </c>
      <c r="V14" s="132">
        <f t="shared" si="0"/>
        <v>18</v>
      </c>
    </row>
    <row r="15" spans="1:23" x14ac:dyDescent="0.25">
      <c r="A15" s="307"/>
      <c r="B15" s="310"/>
      <c r="C15" s="149" t="s">
        <v>84</v>
      </c>
      <c r="D15" s="150"/>
      <c r="E15" s="150"/>
      <c r="F15" s="151"/>
      <c r="G15" s="135" t="s">
        <v>10</v>
      </c>
      <c r="H15" s="25">
        <v>0.78200000000000003</v>
      </c>
      <c r="K15" s="296"/>
      <c r="L15" s="152" t="s">
        <v>105</v>
      </c>
      <c r="M15" s="148">
        <v>0.70489999999999997</v>
      </c>
      <c r="N15" s="148">
        <v>0.7329</v>
      </c>
      <c r="P15" s="131">
        <v>7</v>
      </c>
      <c r="Q15" s="131">
        <v>0</v>
      </c>
      <c r="R15" s="145">
        <v>8.3333333333333329E-2</v>
      </c>
      <c r="U15" s="131">
        <v>10</v>
      </c>
      <c r="V15" s="132">
        <f t="shared" si="0"/>
        <v>30</v>
      </c>
    </row>
    <row r="16" spans="1:23" ht="17.25" customHeight="1" x14ac:dyDescent="0.25">
      <c r="A16" s="307"/>
      <c r="B16" s="311"/>
      <c r="C16" s="149" t="s">
        <v>77</v>
      </c>
      <c r="D16" s="150"/>
      <c r="E16" s="150"/>
      <c r="F16" s="151"/>
      <c r="G16" s="135" t="s">
        <v>10</v>
      </c>
      <c r="H16" s="25">
        <v>0.17499999999999999</v>
      </c>
      <c r="K16" s="295" t="s">
        <v>50</v>
      </c>
      <c r="L16" s="153" t="s">
        <v>106</v>
      </c>
      <c r="M16" s="142">
        <v>21.734000000000002</v>
      </c>
      <c r="N16" s="142">
        <v>16.106000000000002</v>
      </c>
      <c r="P16" s="131">
        <v>8</v>
      </c>
      <c r="Q16" s="131">
        <v>0</v>
      </c>
      <c r="R16" s="145">
        <v>0.16666666666666666</v>
      </c>
      <c r="T16" s="147"/>
      <c r="U16" s="131">
        <v>11</v>
      </c>
      <c r="V16" s="132">
        <f t="shared" si="0"/>
        <v>18</v>
      </c>
    </row>
    <row r="17" spans="1:33" ht="15" customHeight="1" x14ac:dyDescent="0.25">
      <c r="A17" s="307"/>
      <c r="B17" s="309" t="s">
        <v>4</v>
      </c>
      <c r="C17" s="321" t="s">
        <v>1</v>
      </c>
      <c r="D17" s="322"/>
      <c r="E17" s="322"/>
      <c r="F17" s="323"/>
      <c r="G17" s="135" t="s">
        <v>6</v>
      </c>
      <c r="H17" s="24">
        <v>0</v>
      </c>
      <c r="K17" s="296"/>
      <c r="L17" s="154" t="s">
        <v>107</v>
      </c>
      <c r="M17" s="148">
        <v>-14.763999999999999</v>
      </c>
      <c r="N17" s="148">
        <v>-3.9855999999999998</v>
      </c>
      <c r="P17" s="131">
        <v>9</v>
      </c>
      <c r="Q17" s="131">
        <v>0</v>
      </c>
      <c r="R17" s="145">
        <v>8.3333333333333329E-2</v>
      </c>
      <c r="U17" s="131">
        <v>12</v>
      </c>
      <c r="V17" s="132">
        <f t="shared" si="0"/>
        <v>6</v>
      </c>
    </row>
    <row r="18" spans="1:33" x14ac:dyDescent="0.25">
      <c r="A18" s="307"/>
      <c r="B18" s="310"/>
      <c r="C18" s="321" t="s">
        <v>19</v>
      </c>
      <c r="D18" s="322"/>
      <c r="E18" s="322"/>
      <c r="F18" s="323"/>
      <c r="G18" s="135" t="s">
        <v>10</v>
      </c>
      <c r="H18" s="25">
        <v>0.9</v>
      </c>
      <c r="K18" s="295" t="s">
        <v>139</v>
      </c>
      <c r="L18" s="153" t="s">
        <v>140</v>
      </c>
      <c r="M18" s="142">
        <v>0.4743</v>
      </c>
      <c r="N18" s="142">
        <v>0.28810000000000002</v>
      </c>
      <c r="P18" s="131">
        <v>10</v>
      </c>
      <c r="Q18" s="131">
        <v>0</v>
      </c>
      <c r="R18" s="145">
        <v>0</v>
      </c>
      <c r="AC18" s="155"/>
      <c r="AD18" s="312" t="s">
        <v>70</v>
      </c>
      <c r="AE18" s="314"/>
      <c r="AF18" s="313" t="s">
        <v>68</v>
      </c>
      <c r="AG18" s="314"/>
    </row>
    <row r="19" spans="1:33" x14ac:dyDescent="0.25">
      <c r="A19" s="307"/>
      <c r="B19" s="310"/>
      <c r="C19" s="149" t="s">
        <v>46</v>
      </c>
      <c r="D19" s="150"/>
      <c r="E19" s="150"/>
      <c r="F19" s="151"/>
      <c r="G19" s="135" t="s">
        <v>10</v>
      </c>
      <c r="H19" s="25">
        <v>8.3000000000000004E-2</v>
      </c>
      <c r="K19" s="296"/>
      <c r="L19" s="154" t="s">
        <v>141</v>
      </c>
      <c r="M19" s="148">
        <v>0.17730000000000001</v>
      </c>
      <c r="N19" s="148">
        <v>-3.7999999999999999E-2</v>
      </c>
      <c r="P19" s="131">
        <v>11</v>
      </c>
      <c r="Q19" s="131">
        <v>0</v>
      </c>
      <c r="R19" s="145">
        <v>0</v>
      </c>
      <c r="AC19" s="156"/>
      <c r="AD19" s="157" t="s">
        <v>67</v>
      </c>
      <c r="AE19" s="158" t="s">
        <v>69</v>
      </c>
      <c r="AF19" s="159" t="s">
        <v>67</v>
      </c>
      <c r="AG19" s="158" t="s">
        <v>69</v>
      </c>
    </row>
    <row r="20" spans="1:33" ht="15" customHeight="1" x14ac:dyDescent="0.25">
      <c r="A20" s="307"/>
      <c r="B20" s="310"/>
      <c r="C20" s="149" t="s">
        <v>84</v>
      </c>
      <c r="D20" s="150"/>
      <c r="E20" s="150"/>
      <c r="F20" s="151"/>
      <c r="G20" s="135" t="s">
        <v>10</v>
      </c>
      <c r="H20" s="25">
        <v>0.96</v>
      </c>
      <c r="P20" s="146">
        <v>12</v>
      </c>
      <c r="Q20" s="146">
        <v>0</v>
      </c>
      <c r="R20" s="148">
        <v>0</v>
      </c>
      <c r="AC20" s="160" t="s">
        <v>0</v>
      </c>
      <c r="AD20" s="161">
        <f>SUM(W42:W51)*7/1000</f>
        <v>4.95824</v>
      </c>
      <c r="AE20" s="162">
        <f>(IF(U42&lt;&gt;"",D42*U42+IF(U43&lt;&gt;"",D43*U43+IF(U44&lt;&gt;"",D44*U44+IF(U45&lt;&gt;"",D45*U45+IF(U46&lt;&gt;"",D46*U46+IF(U47&lt;&gt;"",D47*U47+IF(U48&lt;&gt;"",D48*U48+IF(U49&lt;&gt;"",D49*U49+IF(U50&lt;&gt;"",D50*U50+IF(U51&lt;&gt;"",D51*U51)))))))))))*7/1000</f>
        <v>246.99601425231316</v>
      </c>
      <c r="AF20" s="163">
        <f>AD20*H27/H13/1000</f>
        <v>3.0800000000000005</v>
      </c>
      <c r="AG20" s="162">
        <f>AE20*H27/H13/1000</f>
        <v>153.43100049556386</v>
      </c>
    </row>
    <row r="21" spans="1:33" ht="15" customHeight="1" x14ac:dyDescent="0.25">
      <c r="A21" s="307"/>
      <c r="B21" s="311"/>
      <c r="C21" s="149" t="s">
        <v>77</v>
      </c>
      <c r="D21" s="150"/>
      <c r="E21" s="150"/>
      <c r="F21" s="151"/>
      <c r="G21" s="135" t="s">
        <v>10</v>
      </c>
      <c r="H21" s="25">
        <v>0.38400000000000001</v>
      </c>
      <c r="AC21" s="160" t="s">
        <v>4</v>
      </c>
      <c r="AD21" s="161">
        <f>SUM(V42:V51)*7/1000</f>
        <v>0</v>
      </c>
      <c r="AE21" s="162">
        <f>(IF(V42&lt;&gt;"",D42*V42+IF(V43&lt;&gt;"",D43*V43+IF(V44&lt;&gt;"",D44*V44+IF(V45&lt;&gt;"",D45*V45+IF(V46&lt;&gt;"",D46*V46+IF(V47&lt;&gt;"",D47*V47+IF(V48&lt;&gt;"",D48*V48+IF(V49&lt;&gt;"",D49*V49+IF(V50&lt;&gt;"",D50*V50+IF(V51&lt;&gt;"",D51*V51)))))))))))*7/1000</f>
        <v>0</v>
      </c>
      <c r="AF21" s="163">
        <f>AD21*H28/H18/1000</f>
        <v>0</v>
      </c>
      <c r="AG21" s="162">
        <f>AE21*H28/H18/1000</f>
        <v>0</v>
      </c>
    </row>
    <row r="22" spans="1:33" ht="15" customHeight="1" x14ac:dyDescent="0.25">
      <c r="A22" s="307"/>
      <c r="B22" s="309" t="s">
        <v>2</v>
      </c>
      <c r="C22" s="149" t="s">
        <v>42</v>
      </c>
      <c r="D22" s="150"/>
      <c r="E22" s="150"/>
      <c r="F22" s="151"/>
      <c r="G22" s="135" t="s">
        <v>53</v>
      </c>
      <c r="H22" s="25" t="s">
        <v>135</v>
      </c>
      <c r="I22" s="126" t="s">
        <v>132</v>
      </c>
      <c r="K22" s="164"/>
      <c r="L22" s="165"/>
      <c r="M22" s="318"/>
      <c r="N22" s="318"/>
      <c r="O22" s="166"/>
      <c r="P22" s="319" t="s">
        <v>144</v>
      </c>
      <c r="Q22" s="319"/>
      <c r="R22" s="319"/>
      <c r="AC22" s="156" t="s">
        <v>2</v>
      </c>
      <c r="AD22" s="167">
        <f>SUM(U42:U51)*7/1000</f>
        <v>3.5736927288760367</v>
      </c>
      <c r="AE22" s="168">
        <f>(IF(U42&lt;&gt;"",D42*U42+IF(U43&lt;&gt;"",D43*U43+IF(U44&lt;&gt;"",D44*U44+IF(U45&lt;&gt;"",D45*U45+IF(U46&lt;&gt;"",D46*U46+IF(U47&lt;&gt;"",D47*U47+IF(U48&lt;&gt;"",D48*U48+IF(U49&lt;&gt;"",D49*U49+IF(U50&lt;&gt;"",D50*U50+IF(U51&lt;&gt;"",D51*U51)))))))))))*7/1000</f>
        <v>246.99601425231316</v>
      </c>
      <c r="AF22" s="169">
        <f>AD22*H29/1000</f>
        <v>0.14294770915504149</v>
      </c>
      <c r="AG22" s="168">
        <f>AE22*H29/1000</f>
        <v>9.8798405700925276</v>
      </c>
    </row>
    <row r="23" spans="1:33" ht="15" customHeight="1" x14ac:dyDescent="0.25">
      <c r="A23" s="307"/>
      <c r="B23" s="310"/>
      <c r="C23" s="321" t="s">
        <v>80</v>
      </c>
      <c r="D23" s="322"/>
      <c r="E23" s="322"/>
      <c r="F23" s="323"/>
      <c r="G23" s="135" t="s">
        <v>10</v>
      </c>
      <c r="H23" s="25">
        <v>0.16</v>
      </c>
      <c r="O23" s="166"/>
      <c r="P23" s="319"/>
      <c r="Q23" s="319"/>
      <c r="R23" s="319"/>
    </row>
    <row r="24" spans="1:33" ht="15" customHeight="1" x14ac:dyDescent="0.25">
      <c r="A24" s="307"/>
      <c r="B24" s="310"/>
      <c r="C24" s="321" t="s">
        <v>86</v>
      </c>
      <c r="D24" s="322"/>
      <c r="E24" s="322"/>
      <c r="F24" s="323"/>
      <c r="G24" s="135" t="s">
        <v>10</v>
      </c>
      <c r="H24" s="25">
        <v>0.93799999999999994</v>
      </c>
      <c r="K24" s="324" t="s">
        <v>122</v>
      </c>
      <c r="L24" s="324"/>
      <c r="M24" s="324"/>
      <c r="N24" s="324"/>
      <c r="P24" s="320"/>
      <c r="Q24" s="320"/>
      <c r="R24" s="320"/>
      <c r="AC24" s="312" t="s">
        <v>71</v>
      </c>
      <c r="AD24" s="313"/>
      <c r="AE24" s="313"/>
      <c r="AF24" s="314"/>
    </row>
    <row r="25" spans="1:33" ht="15" customHeight="1" x14ac:dyDescent="0.25">
      <c r="A25" s="307"/>
      <c r="B25" s="310"/>
      <c r="C25" s="321" t="s">
        <v>78</v>
      </c>
      <c r="D25" s="322"/>
      <c r="E25" s="322"/>
      <c r="F25" s="323"/>
      <c r="G25" s="135" t="s">
        <v>10</v>
      </c>
      <c r="H25" s="25">
        <v>0.30399999999999999</v>
      </c>
      <c r="K25" s="325"/>
      <c r="L25" s="325"/>
      <c r="M25" s="325"/>
      <c r="N25" s="325"/>
      <c r="P25" s="135" t="s">
        <v>145</v>
      </c>
      <c r="Q25" s="304" t="s">
        <v>171</v>
      </c>
      <c r="R25" s="305"/>
      <c r="AC25" s="156"/>
      <c r="AD25" s="159" t="s">
        <v>67</v>
      </c>
      <c r="AE25" s="159" t="s">
        <v>69</v>
      </c>
      <c r="AF25" s="170"/>
    </row>
    <row r="26" spans="1:33" x14ac:dyDescent="0.25">
      <c r="A26" s="308"/>
      <c r="B26" s="311"/>
      <c r="C26" s="149" t="s">
        <v>39</v>
      </c>
      <c r="D26" s="150"/>
      <c r="E26" s="150"/>
      <c r="F26" s="150"/>
      <c r="G26" s="135" t="s">
        <v>40</v>
      </c>
      <c r="H26" s="24">
        <v>10</v>
      </c>
      <c r="K26" s="136"/>
      <c r="L26" s="137"/>
      <c r="M26" s="138" t="s">
        <v>95</v>
      </c>
      <c r="N26" s="139" t="s">
        <v>94</v>
      </c>
      <c r="P26" s="135" t="s">
        <v>146</v>
      </c>
      <c r="Q26" s="171">
        <v>5</v>
      </c>
      <c r="R26" s="172"/>
      <c r="AC26" s="136"/>
      <c r="AD26" s="173">
        <f>MAX(G42:G51)*H33*H34</f>
        <v>20.300627118364051</v>
      </c>
      <c r="AE26" s="173">
        <f>AD26*MIN(D42:D51)</f>
        <v>812.02508473456203</v>
      </c>
      <c r="AF26" s="174"/>
    </row>
    <row r="27" spans="1:33" x14ac:dyDescent="0.25">
      <c r="A27" s="306" t="s">
        <v>63</v>
      </c>
      <c r="B27" s="309" t="s">
        <v>64</v>
      </c>
      <c r="C27" s="149" t="s">
        <v>58</v>
      </c>
      <c r="D27" s="150"/>
      <c r="E27" s="150"/>
      <c r="F27" s="150"/>
      <c r="G27" s="135" t="s">
        <v>59</v>
      </c>
      <c r="H27" s="37">
        <v>550</v>
      </c>
      <c r="K27" s="295" t="s">
        <v>123</v>
      </c>
      <c r="L27" s="141" t="s">
        <v>126</v>
      </c>
      <c r="M27" s="142">
        <v>1.002</v>
      </c>
      <c r="N27" s="145">
        <v>1.0009999999999999</v>
      </c>
      <c r="P27" s="135" t="s">
        <v>147</v>
      </c>
      <c r="Q27" s="171">
        <v>12</v>
      </c>
      <c r="R27" s="172"/>
      <c r="V27" s="140"/>
      <c r="W27" s="140"/>
    </row>
    <row r="28" spans="1:33" x14ac:dyDescent="0.25">
      <c r="A28" s="307"/>
      <c r="B28" s="310"/>
      <c r="C28" s="149" t="s">
        <v>60</v>
      </c>
      <c r="D28" s="150"/>
      <c r="E28" s="150"/>
      <c r="F28" s="150"/>
      <c r="G28" s="135" t="s">
        <v>59</v>
      </c>
      <c r="H28" s="37">
        <v>120</v>
      </c>
      <c r="K28" s="296"/>
      <c r="L28" s="144" t="s">
        <v>127</v>
      </c>
      <c r="M28" s="145">
        <v>27000</v>
      </c>
      <c r="N28" s="145">
        <v>18000</v>
      </c>
      <c r="P28" s="135" t="s">
        <v>148</v>
      </c>
      <c r="Q28" s="171">
        <v>23</v>
      </c>
      <c r="R28" s="172"/>
      <c r="V28" s="140"/>
      <c r="W28" s="140"/>
      <c r="AC28" s="312" t="s">
        <v>76</v>
      </c>
      <c r="AD28" s="313"/>
      <c r="AE28" s="313"/>
      <c r="AF28" s="314"/>
    </row>
    <row r="29" spans="1:33" x14ac:dyDescent="0.25">
      <c r="A29" s="307"/>
      <c r="B29" s="311"/>
      <c r="C29" s="149" t="s">
        <v>61</v>
      </c>
      <c r="D29" s="150"/>
      <c r="E29" s="150"/>
      <c r="F29" s="150"/>
      <c r="G29" s="135" t="s">
        <v>62</v>
      </c>
      <c r="H29" s="37">
        <v>40</v>
      </c>
      <c r="K29" s="295" t="s">
        <v>149</v>
      </c>
      <c r="L29" s="141" t="s">
        <v>150</v>
      </c>
      <c r="M29" s="142">
        <v>1.0000100000000001</v>
      </c>
      <c r="N29" s="142">
        <v>1.0009999999999999</v>
      </c>
      <c r="P29" s="135" t="s">
        <v>151</v>
      </c>
      <c r="Q29" s="171">
        <v>54</v>
      </c>
      <c r="R29" s="172"/>
      <c r="AC29" s="157" t="s">
        <v>142</v>
      </c>
      <c r="AD29" s="175" t="s">
        <v>143</v>
      </c>
      <c r="AE29" s="175"/>
      <c r="AF29" s="158" t="s">
        <v>69</v>
      </c>
    </row>
    <row r="30" spans="1:33" ht="15" customHeight="1" x14ac:dyDescent="0.25">
      <c r="A30" s="307"/>
      <c r="B30" s="309" t="s">
        <v>66</v>
      </c>
      <c r="C30" s="149" t="s">
        <v>134</v>
      </c>
      <c r="D30" s="150"/>
      <c r="E30" s="150"/>
      <c r="F30" s="151"/>
      <c r="G30" s="135" t="s">
        <v>65</v>
      </c>
      <c r="H30" s="37">
        <v>100</v>
      </c>
      <c r="K30" s="296"/>
      <c r="L30" s="152" t="s">
        <v>152</v>
      </c>
      <c r="M30" s="148">
        <v>5500</v>
      </c>
      <c r="N30" s="148">
        <v>2000</v>
      </c>
      <c r="P30" s="135" t="s">
        <v>153</v>
      </c>
      <c r="Q30" s="171">
        <v>65</v>
      </c>
      <c r="R30" s="172"/>
      <c r="AC30" s="176">
        <f>AD26-SUM(AF20:AF22)</f>
        <v>17.077679409209011</v>
      </c>
      <c r="AD30" s="177">
        <f>(AE26-SUM(AG20:AG22))/$H$30</f>
        <v>6.487142436689056</v>
      </c>
      <c r="AE30" s="177"/>
      <c r="AF30" s="178">
        <f>AE26-SUM(AG20:AG22)</f>
        <v>648.71424366890562</v>
      </c>
    </row>
    <row r="31" spans="1:33" x14ac:dyDescent="0.25">
      <c r="A31" s="307"/>
      <c r="B31" s="310"/>
      <c r="C31" s="150" t="s">
        <v>109</v>
      </c>
      <c r="D31" s="150"/>
      <c r="E31" s="150"/>
      <c r="F31" s="151"/>
      <c r="G31" s="135" t="s">
        <v>10</v>
      </c>
      <c r="H31" s="25">
        <v>0.6</v>
      </c>
      <c r="K31" s="295" t="s">
        <v>124</v>
      </c>
      <c r="L31" s="144" t="s">
        <v>128</v>
      </c>
      <c r="M31" s="145">
        <v>1.0000100000000001</v>
      </c>
      <c r="N31" s="145">
        <v>1.0009999999999999</v>
      </c>
      <c r="P31" s="135" t="s">
        <v>154</v>
      </c>
      <c r="Q31" s="171">
        <v>42</v>
      </c>
      <c r="R31" s="172"/>
    </row>
    <row r="32" spans="1:33" x14ac:dyDescent="0.25">
      <c r="A32" s="307"/>
      <c r="B32" s="311"/>
      <c r="C32" s="150" t="s">
        <v>110</v>
      </c>
      <c r="D32" s="150"/>
      <c r="E32" s="150"/>
      <c r="F32" s="151"/>
      <c r="G32" s="135" t="s">
        <v>111</v>
      </c>
      <c r="H32" s="37">
        <v>2</v>
      </c>
      <c r="I32" s="126" t="s">
        <v>112</v>
      </c>
      <c r="K32" s="296"/>
      <c r="L32" s="144" t="s">
        <v>129</v>
      </c>
      <c r="M32" s="145">
        <v>2200</v>
      </c>
      <c r="N32" s="145">
        <v>1200</v>
      </c>
      <c r="P32" s="135" t="s">
        <v>155</v>
      </c>
      <c r="Q32" s="171">
        <v>18</v>
      </c>
      <c r="R32" s="172"/>
      <c r="AC32" s="315" t="s">
        <v>133</v>
      </c>
      <c r="AD32" s="316"/>
      <c r="AE32" s="316"/>
      <c r="AF32" s="317"/>
    </row>
    <row r="33" spans="1:36" x14ac:dyDescent="0.25">
      <c r="A33" s="307"/>
      <c r="B33" s="309" t="s">
        <v>73</v>
      </c>
      <c r="C33" s="150" t="s">
        <v>72</v>
      </c>
      <c r="D33" s="150"/>
      <c r="E33" s="150"/>
      <c r="F33" s="151"/>
      <c r="G33" s="135" t="s">
        <v>10</v>
      </c>
      <c r="H33" s="25">
        <v>0.56999999999999995</v>
      </c>
      <c r="K33" s="295" t="s">
        <v>125</v>
      </c>
      <c r="L33" s="141" t="s">
        <v>130</v>
      </c>
      <c r="M33" s="142">
        <v>1.004</v>
      </c>
      <c r="N33" s="142">
        <v>1.01</v>
      </c>
      <c r="P33" s="135" t="s">
        <v>156</v>
      </c>
      <c r="Q33" s="171">
        <v>6</v>
      </c>
      <c r="R33" s="172"/>
      <c r="AC33" s="136"/>
      <c r="AD33" s="297">
        <f>AVERAGE(AE42:AE51)</f>
        <v>19.079545011325031</v>
      </c>
      <c r="AE33" s="297"/>
      <c r="AF33" s="178"/>
    </row>
    <row r="34" spans="1:36" x14ac:dyDescent="0.25">
      <c r="A34" s="308"/>
      <c r="B34" s="311"/>
      <c r="C34" s="149" t="s">
        <v>74</v>
      </c>
      <c r="D34" s="150"/>
      <c r="E34" s="150"/>
      <c r="F34" s="151"/>
      <c r="G34" s="135" t="s">
        <v>75</v>
      </c>
      <c r="H34" s="40">
        <v>14.5</v>
      </c>
      <c r="K34" s="296"/>
      <c r="L34" s="179" t="s">
        <v>131</v>
      </c>
      <c r="M34" s="148">
        <v>1100</v>
      </c>
      <c r="N34" s="148">
        <v>1500</v>
      </c>
      <c r="P34" s="135" t="s">
        <v>157</v>
      </c>
      <c r="Q34" s="171">
        <v>18</v>
      </c>
      <c r="R34" s="172"/>
    </row>
    <row r="35" spans="1:36" x14ac:dyDescent="0.25">
      <c r="L35" s="166"/>
      <c r="M35" s="166"/>
      <c r="P35" s="135" t="s">
        <v>158</v>
      </c>
      <c r="Q35" s="171">
        <v>30</v>
      </c>
      <c r="R35" s="172"/>
    </row>
    <row r="36" spans="1:36" x14ac:dyDescent="0.25">
      <c r="P36" s="135" t="s">
        <v>159</v>
      </c>
      <c r="Q36" s="171">
        <v>18</v>
      </c>
      <c r="R36" s="172"/>
    </row>
    <row r="37" spans="1:36" x14ac:dyDescent="0.25">
      <c r="P37" s="135" t="s">
        <v>160</v>
      </c>
      <c r="Q37" s="180">
        <v>6</v>
      </c>
      <c r="R37" s="181"/>
    </row>
    <row r="38" spans="1:36" x14ac:dyDescent="0.25">
      <c r="A38" s="182"/>
      <c r="B38" s="182"/>
      <c r="C38" s="183"/>
      <c r="D38" s="184"/>
      <c r="E38" s="184"/>
      <c r="F38" s="184"/>
      <c r="G38" s="183"/>
      <c r="H38" s="183"/>
      <c r="I38" s="183"/>
      <c r="J38" s="185"/>
    </row>
    <row r="39" spans="1:36" ht="15" customHeight="1" x14ac:dyDescent="0.25">
      <c r="A39" s="186" t="s">
        <v>23</v>
      </c>
      <c r="B39" s="298" t="s">
        <v>28</v>
      </c>
      <c r="C39" s="299"/>
      <c r="D39" s="299"/>
      <c r="E39" s="299"/>
      <c r="F39" s="299"/>
      <c r="G39" s="299"/>
      <c r="H39" s="300"/>
      <c r="I39" s="187" t="s">
        <v>36</v>
      </c>
      <c r="J39" s="188"/>
      <c r="K39" s="188"/>
      <c r="L39" s="188"/>
      <c r="M39" s="188"/>
      <c r="N39" s="188"/>
      <c r="O39" s="189"/>
      <c r="P39" s="187" t="s">
        <v>17</v>
      </c>
      <c r="Q39" s="188"/>
      <c r="R39" s="188"/>
      <c r="S39" s="188"/>
      <c r="T39" s="188"/>
      <c r="U39" s="188"/>
      <c r="V39" s="188"/>
      <c r="W39" s="188"/>
      <c r="X39" s="188"/>
      <c r="Y39" s="188"/>
      <c r="Z39" s="188"/>
      <c r="AA39" s="189"/>
      <c r="AB39" s="301" t="s">
        <v>50</v>
      </c>
      <c r="AC39" s="302"/>
      <c r="AD39" s="302"/>
      <c r="AE39" s="303"/>
    </row>
    <row r="40" spans="1:36" ht="45" customHeight="1" x14ac:dyDescent="0.25">
      <c r="A40" s="190" t="s">
        <v>89</v>
      </c>
      <c r="B40" s="191" t="s">
        <v>34</v>
      </c>
      <c r="C40" s="191" t="s">
        <v>21</v>
      </c>
      <c r="D40" s="191" t="s">
        <v>66</v>
      </c>
      <c r="E40" s="191" t="s">
        <v>116</v>
      </c>
      <c r="F40" s="191" t="s">
        <v>13</v>
      </c>
      <c r="G40" s="191" t="s">
        <v>30</v>
      </c>
      <c r="H40" s="191" t="s">
        <v>31</v>
      </c>
      <c r="I40" s="191" t="s">
        <v>3</v>
      </c>
      <c r="J40" s="191" t="s">
        <v>3</v>
      </c>
      <c r="K40" s="191" t="s">
        <v>43</v>
      </c>
      <c r="L40" s="191" t="s">
        <v>37</v>
      </c>
      <c r="M40" s="191" t="s">
        <v>87</v>
      </c>
      <c r="N40" s="191" t="s">
        <v>88</v>
      </c>
      <c r="O40" s="191" t="s">
        <v>79</v>
      </c>
      <c r="P40" s="191" t="s">
        <v>92</v>
      </c>
      <c r="Q40" s="191" t="s">
        <v>83</v>
      </c>
      <c r="R40" s="191" t="s">
        <v>81</v>
      </c>
      <c r="S40" s="191" t="s">
        <v>45</v>
      </c>
      <c r="T40" s="191" t="s">
        <v>41</v>
      </c>
      <c r="U40" s="192" t="s">
        <v>25</v>
      </c>
      <c r="V40" s="192" t="s">
        <v>26</v>
      </c>
      <c r="W40" s="192" t="s">
        <v>27</v>
      </c>
      <c r="X40" s="192" t="s">
        <v>47</v>
      </c>
      <c r="Y40" s="192" t="s">
        <v>48</v>
      </c>
      <c r="Z40" s="192" t="s">
        <v>85</v>
      </c>
      <c r="AA40" s="192" t="s">
        <v>82</v>
      </c>
      <c r="AB40" s="193" t="s">
        <v>93</v>
      </c>
      <c r="AC40" s="193" t="s">
        <v>136</v>
      </c>
      <c r="AD40" s="193" t="s">
        <v>137</v>
      </c>
      <c r="AE40" s="193" t="s">
        <v>161</v>
      </c>
    </row>
    <row r="41" spans="1:36" x14ac:dyDescent="0.25">
      <c r="A41" s="194" t="s">
        <v>11</v>
      </c>
      <c r="B41" s="190" t="s">
        <v>35</v>
      </c>
      <c r="C41" s="190" t="s">
        <v>15</v>
      </c>
      <c r="D41" s="190" t="s">
        <v>108</v>
      </c>
      <c r="E41" s="190"/>
      <c r="F41" s="194" t="s">
        <v>14</v>
      </c>
      <c r="G41" s="194" t="s">
        <v>9</v>
      </c>
      <c r="H41" s="194" t="s">
        <v>9</v>
      </c>
      <c r="I41" s="195" t="s">
        <v>7</v>
      </c>
      <c r="J41" s="195" t="s">
        <v>33</v>
      </c>
      <c r="K41" s="195" t="s">
        <v>44</v>
      </c>
      <c r="L41" s="196" t="s">
        <v>38</v>
      </c>
      <c r="M41" s="196" t="s">
        <v>10</v>
      </c>
      <c r="N41" s="196" t="s">
        <v>10</v>
      </c>
      <c r="O41" s="196" t="s">
        <v>10</v>
      </c>
      <c r="P41" s="196" t="s">
        <v>16</v>
      </c>
      <c r="Q41" s="196" t="s">
        <v>16</v>
      </c>
      <c r="R41" s="196" t="s">
        <v>16</v>
      </c>
      <c r="S41" s="196" t="s">
        <v>16</v>
      </c>
      <c r="T41" s="196" t="s">
        <v>10</v>
      </c>
      <c r="U41" s="197" t="s">
        <v>16</v>
      </c>
      <c r="V41" s="198" t="s">
        <v>8</v>
      </c>
      <c r="W41" s="194" t="s">
        <v>8</v>
      </c>
      <c r="X41" s="196" t="s">
        <v>8</v>
      </c>
      <c r="Y41" s="196" t="s">
        <v>49</v>
      </c>
      <c r="Z41" s="196" t="s">
        <v>91</v>
      </c>
      <c r="AA41" s="196" t="s">
        <v>90</v>
      </c>
      <c r="AB41" s="192" t="s">
        <v>6</v>
      </c>
      <c r="AC41" s="196" t="s">
        <v>49</v>
      </c>
      <c r="AD41" s="196" t="s">
        <v>91</v>
      </c>
      <c r="AE41" s="192" t="s">
        <v>6</v>
      </c>
    </row>
    <row r="42" spans="1:36" ht="17.25" customHeight="1" x14ac:dyDescent="0.25">
      <c r="A42" s="194"/>
      <c r="B42" s="199">
        <v>1</v>
      </c>
      <c r="C42" s="200">
        <f>$H$9</f>
        <v>42360</v>
      </c>
      <c r="D42" s="201">
        <f>H30</f>
        <v>100</v>
      </c>
      <c r="E42" s="201">
        <f>$H$30*$H$31*IF($H$32=1,Q9,R9)</f>
        <v>0</v>
      </c>
      <c r="F42" s="202">
        <f>$H$8+(C42-$H$9)</f>
        <v>61</v>
      </c>
      <c r="G42" s="203">
        <f>$H$10</f>
        <v>1.3</v>
      </c>
      <c r="H42" s="204">
        <f>G42^0.75</f>
        <v>1.2174678856663446</v>
      </c>
      <c r="I42" s="54">
        <v>5</v>
      </c>
      <c r="J42" s="205">
        <f>I42*100</f>
        <v>500</v>
      </c>
      <c r="K42" s="205">
        <f>J42*$H$26*$H$30/D42</f>
        <v>5000</v>
      </c>
      <c r="L42" s="206">
        <v>200.1</v>
      </c>
      <c r="M42" s="207">
        <f t="shared" ref="M42" si="1">IF($H$22="Gram",$H$23-($M$33-EXP(-(L42-$L$42)/$M$34))*$H$23,$H$23-($N$33-EXP(-(L42-$L$42)/$N$34))*$H$23)</f>
        <v>0.15840000000000001</v>
      </c>
      <c r="N42" s="208">
        <f t="shared" ref="N42" si="2">MIN(96%,IF($H$22="Gram",$H$24+($M$27-EXP(-(L42-$L$42)/$M$28))*$H$24,$H$24+($N$27-EXP(-(L42-$L$42)/$N$28))*$H$24))</f>
        <v>0.93893799999999983</v>
      </c>
      <c r="O42" s="208">
        <f t="shared" ref="O42" si="3">IF($H$22="Gram",$H$25+$H$25*($M$31-EXP(-(L42-$L$42)/$M$32)),$H$25+$H$25*($N$31-EXP(-(L42-$L$42)/$N$32)))</f>
        <v>0.30430399999999996</v>
      </c>
      <c r="P42" s="209">
        <f>MAX(0,IF($H$22="Lég",(($N$8 *H42 + $N$9-(W42*$H$14)-(V42*$H$19))/M42)),(($M$8*H42 + $M$9-(W42*$H$14)-(V42*$H$19))/M42))</f>
        <v>98.74220579945036</v>
      </c>
      <c r="Q42" s="209">
        <f>MAX(0,IF($H$22="Lég",(($N$10*H42 + $N$11-(W42*$H$15)-(V42*$H$20))/N42)),(($M$10*H42+$M$11-(W42*$H$15)-(V42*$H$20))/N42))</f>
        <v>67.903356967465555</v>
      </c>
      <c r="R42" s="209">
        <f>MAX(0,IF($H$22="Lég",(($N$12*H42 +$N$13-(W42*$H$16)-(V42*$H$21))/O42)),(($M$12*H42 +$M$13-(W42*$H$16)-(V42*$H$21))/O42))</f>
        <v>61.389024879194309</v>
      </c>
      <c r="S42" s="209">
        <f>MIN(P42:Q42,R42)</f>
        <v>61.389024879194309</v>
      </c>
      <c r="T42" s="208">
        <f>IF(S42&gt;0,MIN(100%,IF($H$22="Lég",$N$14*LN(K42/S42)+$N$15,$M$14*LN(K42/S42) + $M$15)),0)</f>
        <v>7.2905681979553938E-2</v>
      </c>
      <c r="U42" s="210">
        <f>MIN(S42,MAX(0,(K42*T42)))</f>
        <v>61.389024879194309</v>
      </c>
      <c r="V42" s="210">
        <f>$H$17*$H$18</f>
        <v>0</v>
      </c>
      <c r="W42" s="210">
        <f>$H$12*$H$13</f>
        <v>70.831999999999994</v>
      </c>
      <c r="X42" s="210">
        <f>W42+U42+V42</f>
        <v>132.22102487919432</v>
      </c>
      <c r="Y42" s="210">
        <f>U42*M42+V42*$H$19+W42*$H$14</f>
        <v>21.411301540864379</v>
      </c>
      <c r="Z42" s="210">
        <f>U42*N42+V42*$H$20+W42*$H$15</f>
        <v>113.03111224202092</v>
      </c>
      <c r="AA42" s="210">
        <f>U42*O42+V42*$H$21+W42*$H$16</f>
        <v>31.076525826838342</v>
      </c>
      <c r="AB42" s="209">
        <f>IF($H$22="Lég",($N$16*H42+$N$17),IF($H$22="Gram",$M$16*H42+$M$17))</f>
        <v>15.622937766542149</v>
      </c>
      <c r="AC42" s="208">
        <f>IF($H$22="Lég",(Y42-($N$8*H42+$N$9))/($N$8*H42+$N$9),IF($H$22="Gram",(Y42-($M$8*H42+$M$9))/($M$8*H42+$M$9)))</f>
        <v>-0.21650812458268745</v>
      </c>
      <c r="AD42" s="208">
        <f>IF($H$22="Lég",(Z42-($N$10*H42+$N$11))/($N$10*H42+$N$11),IF($H$22="Gram",(Z42-($M$10*H42+$M$11))/($M$10*H42+$M$11)))</f>
        <v>-5.1335910624007441E-2</v>
      </c>
      <c r="AE42" s="209">
        <f>AB42+IF($H$22="Lég",($N$18*MIN(AC42:AD42)+$N$19),$M$18*MIN(AC42:AD42)+$M$19)*AB42</f>
        <v>14.054769910701765</v>
      </c>
      <c r="AH42" s="211"/>
      <c r="AJ42" s="211"/>
    </row>
    <row r="43" spans="1:36" x14ac:dyDescent="0.25">
      <c r="A43" s="212"/>
      <c r="B43" s="213">
        <f>B42+1</f>
        <v>2</v>
      </c>
      <c r="C43" s="214">
        <f>C42+7</f>
        <v>42367</v>
      </c>
      <c r="D43" s="215">
        <f>IF(E42&lt;&gt;"",D42-E42,D42)</f>
        <v>100</v>
      </c>
      <c r="E43" s="215">
        <f t="shared" ref="E43:E51" si="4">IF(G42&gt;$H$11,"",$H$30*$H$31*IF($H$32=1,Q10,R10))</f>
        <v>10</v>
      </c>
      <c r="F43" s="216">
        <f t="shared" ref="F43:F51" si="5">IF(G42&gt;$H$11,"",$H$8+(C43-$H$9))</f>
        <v>68</v>
      </c>
      <c r="G43" s="217">
        <f t="shared" ref="G43:G51" si="6">IF(G42&gt;$H$11,"",G42+AE42*7/1000)</f>
        <v>1.3983833893749125</v>
      </c>
      <c r="H43" s="218">
        <f t="shared" ref="H43:H51" si="7">IF(G42&gt;$H$11,"",G43^0.75)</f>
        <v>1.2859370001980186</v>
      </c>
      <c r="I43" s="219">
        <f t="shared" ref="I43:I51" si="8">IF(G42&gt;$H$11,"",MAX(0,(J42-(U42*7/$H$26))/100)+IF(I42&gt;4,0,IF(I42&lt;2,0,VLOOKUP(MONTH(C42),$U$6:$V$17,2)*7/1000)))</f>
        <v>4.5702768258456397</v>
      </c>
      <c r="J43" s="220">
        <f t="shared" ref="J43:J51" si="9">IF(G42&gt;$H$11,"",I43*100)</f>
        <v>457.02768258456399</v>
      </c>
      <c r="K43" s="215">
        <f t="shared" ref="K43:K51" si="10">IF(G42&gt;$H$11,"",J43*$H$26*$H$30/D43)</f>
        <v>4570.2768258456399</v>
      </c>
      <c r="L43" s="206">
        <v>263.85000000000002</v>
      </c>
      <c r="M43" s="221">
        <f>IF(G42&gt;$H$11,"",IF($H$22="Gram",$H$23-($M$33-EXP(-(L43-$L$42)/$M$34))*$H$23,$H$23-($N$33-EXP(-(L43-$L$42)/$N$34))*$H$23))</f>
        <v>0.15174247448335149</v>
      </c>
      <c r="N43" s="221">
        <f>IF(G42&gt;$H$11,"",MIN(96%,IF($H$22="Gram",$H$24+($M$27-EXP(-(L43-$L$42)/$M$28))*$H$24,$H$24+($N$27-EXP(-(L43-$L$42)/$N$28))*$H$24)))</f>
        <v>0.94225420741632382</v>
      </c>
      <c r="O43" s="222">
        <f>IF(G42&gt;$H$11,"",IF($H$22="Gram",$H$25+$H$25*($M$31-EXP(-(L43-$L$42)/$M$32)),$H$25+$H$25*($N$31-EXP(-(L43-$L$42)/$N$32))))</f>
        <v>0.32003251239354696</v>
      </c>
      <c r="P43" s="223">
        <f t="shared" ref="P43:P51" si="11">IF(G42&gt;$H$11,"",MAX(0,IF($H$22="Lég",(($N$8*H43 +$N$9-(W43*$H$14)-(V43*$H$19))/M43)),(($M$8*H43 + $M$9-(W43*$H$14)-(V43*$H$19))/M43)))</f>
        <v>98.730744431332553</v>
      </c>
      <c r="Q43" s="223">
        <f t="shared" ref="Q43:Q51" si="12">IF(G42&gt;$H$11,"",MAX(0,IF($H$22="Lég",(($N$10*H43 + $N$11-(W43*$H$15)-(V43*$H$20))/N43)),(($M$10*H43 +$M$11-(W43*$H$15)-(V43*$H$20))/N43)))</f>
        <v>65.449902408042036</v>
      </c>
      <c r="R43" s="223">
        <f t="shared" ref="R43:R51" si="13">IF(G42&gt;$H$11,"",MAX(0,IF($H$22="Lég",(($N$12*H43 + $N$13-(W43*$H$16)-(V43*$H$21))/O43)),(($M$12*H43 +$M$13-(W43*$H$16)-(V43*$H$21))/O43)))</f>
        <v>56.925806415438544</v>
      </c>
      <c r="S43" s="223">
        <f t="shared" ref="S43:S51" si="14">IF(G42&gt;$H$11,"",MIN(P43:Q43,R43))</f>
        <v>56.925806415438544</v>
      </c>
      <c r="T43" s="224">
        <f t="shared" ref="T43:T51" si="15">IF(G42&gt;$H$11,"",IF(K43=0,0,MIN(100%,IF($H$22="Lég",$N$14*LN(K43/S43)+$N$15,$M$14*LN(K43/S43) + $M$15))))</f>
        <v>7.5062958223740095E-2</v>
      </c>
      <c r="U43" s="225">
        <f t="shared" ref="U43:U51" si="16">IF(G42&gt;$H$11,"",MIN(S43,MAX(0,(K43*T43))))</f>
        <v>56.925806415438544</v>
      </c>
      <c r="V43" s="225">
        <f t="shared" ref="V43:V51" si="17">IF(G42&gt;$H$11,"",$H$17*$H$18)</f>
        <v>0</v>
      </c>
      <c r="W43" s="225">
        <f t="shared" ref="W43:W51" si="18">IF(G42&gt;$H$11,"",$H$12*$H$13)</f>
        <v>70.831999999999994</v>
      </c>
      <c r="X43" s="225">
        <f t="shared" ref="X43:X51" si="19">IF(G42&gt;$H$11,"",W43+U43+V43)</f>
        <v>127.75780641543854</v>
      </c>
      <c r="Y43" s="225">
        <f t="shared" ref="Y43:Y51" si="20">IF(G42&gt;$H$11,"",U43*M43+V43*$H$19+W43*$H$14)</f>
        <v>20.325342727438887</v>
      </c>
      <c r="Z43" s="225">
        <f t="shared" ref="Z43:Z51" si="21">IF(G42&gt;$H$11,"",U43*N43+V43*$H$20+W43*$H$15)</f>
        <v>109.02920460551412</v>
      </c>
      <c r="AA43" s="225">
        <f t="shared" ref="AA43:AA51" si="22">IF(G42&gt;$H$11,"",U43*O43+V43*$H$21+W43*$H$16)</f>
        <v>30.61370884716149</v>
      </c>
      <c r="AB43" s="223">
        <f t="shared" ref="AB43:AB51" si="23">IF(G42&gt;$H$11,"",IF($H$22="Lég",($N$16*H43+$N$17),IF($H$22="Gram",$M$16*H43+$M$17)))</f>
        <v>16.725701325189291</v>
      </c>
      <c r="AC43" s="224">
        <f t="shared" ref="AC43:AC51" si="24">IF(G42&gt;$H$11,"",IF($H$22="Lég",(Y43-($N$8*H43+$N$9))/($N$8*H43+$N$9),IF($H$22="Gram",(Y43-($M$8*H43+$M$9))/($M$8*H43+$M$9))))</f>
        <v>-0.23786426161543883</v>
      </c>
      <c r="AD43" s="224">
        <f t="shared" ref="AD43:AD51" si="25">IF(G42&gt;$H$11,"",IF($H$22="Lég",(Z43-($N$10*H43+$N$11))/($N$10*H43+$N$11),IF($H$22="Gram",(Z43-($M$10*H43+$M$11))/($M$10*H43+$M$11))))</f>
        <v>-6.8612608094315714E-2</v>
      </c>
      <c r="AE43" s="223">
        <f t="shared" ref="AE43:AE51" si="26">IF(G42&gt;$H$11,"",AB43+IF($H$22="Lég",($N$18*MIN(AC43:AD43)+$N$19),$M$18*MIN(AC43:AD43)+$M$19)*AB43)</f>
        <v>14.943934210606169</v>
      </c>
      <c r="AH43" s="211"/>
    </row>
    <row r="44" spans="1:36" x14ac:dyDescent="0.25">
      <c r="A44" s="212"/>
      <c r="B44" s="213">
        <f t="shared" ref="B44:B51" si="27">B43+1</f>
        <v>3</v>
      </c>
      <c r="C44" s="214">
        <f t="shared" ref="C44:C51" si="28">C43+7</f>
        <v>42374</v>
      </c>
      <c r="D44" s="215">
        <f t="shared" ref="D44:D51" si="29">IF(E43&lt;&gt;"",D43-E43,D43)</f>
        <v>90</v>
      </c>
      <c r="E44" s="215">
        <f t="shared" si="4"/>
        <v>20</v>
      </c>
      <c r="F44" s="216">
        <f t="shared" si="5"/>
        <v>75</v>
      </c>
      <c r="G44" s="217">
        <f t="shared" si="6"/>
        <v>1.5029909288491556</v>
      </c>
      <c r="H44" s="218">
        <f t="shared" si="7"/>
        <v>1.3574294576025856</v>
      </c>
      <c r="I44" s="219">
        <f t="shared" si="8"/>
        <v>4.1717961809375703</v>
      </c>
      <c r="J44" s="220">
        <f t="shared" si="9"/>
        <v>417.17961809375703</v>
      </c>
      <c r="K44" s="215">
        <f t="shared" si="10"/>
        <v>4635.3290899306339</v>
      </c>
      <c r="L44" s="206">
        <v>324.3</v>
      </c>
      <c r="M44" s="221">
        <f t="shared" ref="M44:M51" si="30">IF(G43&gt;$H$11,"",IF($H$22="Gram",$H$23-($M$33-EXP(-(L44-$L$42)/$M$34))*$H$23,$H$23-($N$33-EXP(-(L44-$L$42)/$N$34))*$H$23))</f>
        <v>0.14568563773725102</v>
      </c>
      <c r="N44" s="224">
        <f t="shared" ref="N44:N51" si="31">IF(G43&gt;$H$11,"",MIN(96%,IF($H$22="Gram",$H$24+($M$27-EXP(-(L44-$L$42)/$M$28))*$H$24,$H$24+($N$27-EXP(-(L44-$L$42)/$N$28))*$H$24)))</f>
        <v>0.94538792217843826</v>
      </c>
      <c r="O44" s="222">
        <f t="shared" ref="O44:O51" si="32">IF(G43&gt;$H$11,"",IF($H$22="Gram",$H$25+$H$25*($M$31-EXP(-(L44-$L$42)/$M$32)),$H$25+$H$25*($N$31-EXP(-(L44-$L$42)/$N$32))))</f>
        <v>0.33419448908647592</v>
      </c>
      <c r="P44" s="223">
        <f t="shared" si="11"/>
        <v>98.111423668044679</v>
      </c>
      <c r="Q44" s="223">
        <f t="shared" si="12"/>
        <v>62.928361875488797</v>
      </c>
      <c r="R44" s="223">
        <f t="shared" si="13"/>
        <v>53.067468676140443</v>
      </c>
      <c r="S44" s="223">
        <f t="shared" si="14"/>
        <v>53.067468676140443</v>
      </c>
      <c r="T44" s="224">
        <f t="shared" si="15"/>
        <v>6.2415243199280823E-2</v>
      </c>
      <c r="U44" s="225">
        <f t="shared" si="16"/>
        <v>53.067468676140443</v>
      </c>
      <c r="V44" s="225">
        <f t="shared" si="17"/>
        <v>0</v>
      </c>
      <c r="W44" s="225">
        <f t="shared" si="18"/>
        <v>70.831999999999994</v>
      </c>
      <c r="X44" s="225">
        <f t="shared" si="19"/>
        <v>123.89946867614043</v>
      </c>
      <c r="Y44" s="225">
        <f t="shared" si="20"/>
        <v>19.418448017185113</v>
      </c>
      <c r="Z44" s="225">
        <f t="shared" si="21"/>
        <v>105.55996794700576</v>
      </c>
      <c r="AA44" s="225">
        <f t="shared" si="22"/>
        <v>30.130455581335319</v>
      </c>
      <c r="AB44" s="223">
        <f t="shared" si="23"/>
        <v>17.877158844147246</v>
      </c>
      <c r="AC44" s="224">
        <f t="shared" si="24"/>
        <v>-0.2525819536753795</v>
      </c>
      <c r="AD44" s="224">
        <f t="shared" si="25"/>
        <v>-8.1147107147288067E-2</v>
      </c>
      <c r="AE44" s="223">
        <f t="shared" si="26"/>
        <v>15.896926323677246</v>
      </c>
      <c r="AH44" s="211"/>
    </row>
    <row r="45" spans="1:36" x14ac:dyDescent="0.25">
      <c r="A45" s="212"/>
      <c r="B45" s="213">
        <f t="shared" si="27"/>
        <v>4</v>
      </c>
      <c r="C45" s="214">
        <f t="shared" si="28"/>
        <v>42381</v>
      </c>
      <c r="D45" s="215">
        <f t="shared" si="29"/>
        <v>70</v>
      </c>
      <c r="E45" s="215">
        <f t="shared" si="4"/>
        <v>10</v>
      </c>
      <c r="F45" s="216">
        <f t="shared" si="5"/>
        <v>82</v>
      </c>
      <c r="G45" s="217">
        <f t="shared" si="6"/>
        <v>1.6142694131148962</v>
      </c>
      <c r="H45" s="218">
        <f t="shared" si="7"/>
        <v>1.4321285855793751</v>
      </c>
      <c r="I45" s="219">
        <f t="shared" si="8"/>
        <v>3.800323900204587</v>
      </c>
      <c r="J45" s="220">
        <f t="shared" si="9"/>
        <v>380.03239002045871</v>
      </c>
      <c r="K45" s="215">
        <f t="shared" si="10"/>
        <v>5429.0341431494107</v>
      </c>
      <c r="L45" s="206">
        <v>403.9</v>
      </c>
      <c r="M45" s="221">
        <f t="shared" si="30"/>
        <v>0.13807344308245287</v>
      </c>
      <c r="N45" s="224">
        <f t="shared" si="31"/>
        <v>0.94949834832612789</v>
      </c>
      <c r="O45" s="222">
        <f t="shared" si="32"/>
        <v>0.35178714650832016</v>
      </c>
      <c r="P45" s="223">
        <f t="shared" si="11"/>
        <v>98.312418868369974</v>
      </c>
      <c r="Q45" s="223">
        <f t="shared" si="12"/>
        <v>60.258406405164813</v>
      </c>
      <c r="R45" s="223">
        <f t="shared" si="13"/>
        <v>48.978272790216081</v>
      </c>
      <c r="S45" s="223">
        <f t="shared" si="14"/>
        <v>48.978272790216081</v>
      </c>
      <c r="T45" s="224">
        <f t="shared" si="15"/>
        <v>2.6679039661948956E-2</v>
      </c>
      <c r="U45" s="225">
        <f t="shared" si="16"/>
        <v>48.978272790216081</v>
      </c>
      <c r="V45" s="225">
        <f t="shared" si="17"/>
        <v>0</v>
      </c>
      <c r="W45" s="225">
        <f t="shared" si="18"/>
        <v>70.831999999999994</v>
      </c>
      <c r="X45" s="225">
        <f t="shared" si="19"/>
        <v>119.81027279021608</v>
      </c>
      <c r="Y45" s="225">
        <f t="shared" si="20"/>
        <v>18.449878760376748</v>
      </c>
      <c r="Z45" s="225">
        <f t="shared" si="21"/>
        <v>101.89541311817669</v>
      </c>
      <c r="AA45" s="225">
        <f t="shared" si="22"/>
        <v>29.625526825776213</v>
      </c>
      <c r="AB45" s="223">
        <f t="shared" si="23"/>
        <v>19.080262999341414</v>
      </c>
      <c r="AC45" s="224">
        <f t="shared" si="24"/>
        <v>-0.26964767035293863</v>
      </c>
      <c r="AD45" s="224">
        <f t="shared" si="25"/>
        <v>-9.511464328028045E-2</v>
      </c>
      <c r="AE45" s="223">
        <f t="shared" si="26"/>
        <v>16.872953351881481</v>
      </c>
      <c r="AH45" s="211"/>
    </row>
    <row r="46" spans="1:36" x14ac:dyDescent="0.25">
      <c r="A46" s="212"/>
      <c r="B46" s="213">
        <f t="shared" si="27"/>
        <v>5</v>
      </c>
      <c r="C46" s="214">
        <f t="shared" si="28"/>
        <v>42388</v>
      </c>
      <c r="D46" s="215">
        <f t="shared" si="29"/>
        <v>60</v>
      </c>
      <c r="E46" s="215">
        <f t="shared" si="4"/>
        <v>0</v>
      </c>
      <c r="F46" s="216">
        <f t="shared" si="5"/>
        <v>89</v>
      </c>
      <c r="G46" s="217">
        <f t="shared" si="6"/>
        <v>1.7323800865780665</v>
      </c>
      <c r="H46" s="218">
        <f t="shared" si="7"/>
        <v>1.5100189141757976</v>
      </c>
      <c r="I46" s="219">
        <f t="shared" si="8"/>
        <v>3.4924759906730745</v>
      </c>
      <c r="J46" s="220">
        <f t="shared" si="9"/>
        <v>349.24759906730742</v>
      </c>
      <c r="K46" s="215">
        <f t="shared" si="10"/>
        <v>5820.793317788457</v>
      </c>
      <c r="L46" s="226">
        <v>461.85</v>
      </c>
      <c r="M46" s="221">
        <f t="shared" si="30"/>
        <v>0.13278029667667368</v>
      </c>
      <c r="N46" s="224">
        <f t="shared" si="31"/>
        <v>0.9524793875403702</v>
      </c>
      <c r="O46" s="222">
        <f t="shared" si="32"/>
        <v>0.3638804205904308</v>
      </c>
      <c r="P46" s="223">
        <f t="shared" si="11"/>
        <v>96.584532823533337</v>
      </c>
      <c r="Q46" s="223">
        <f t="shared" si="12"/>
        <v>57.577676018913479</v>
      </c>
      <c r="R46" s="223">
        <f t="shared" si="13"/>
        <v>45.903616145451814</v>
      </c>
      <c r="S46" s="223">
        <f t="shared" si="14"/>
        <v>45.903616145451814</v>
      </c>
      <c r="T46" s="224">
        <f t="shared" si="15"/>
        <v>6.5028085130931501E-3</v>
      </c>
      <c r="U46" s="225">
        <f t="shared" si="16"/>
        <v>37.851504339870502</v>
      </c>
      <c r="V46" s="225">
        <f t="shared" si="17"/>
        <v>0</v>
      </c>
      <c r="W46" s="225">
        <f t="shared" si="18"/>
        <v>70.831999999999994</v>
      </c>
      <c r="X46" s="225">
        <f t="shared" si="19"/>
        <v>108.6835043398705</v>
      </c>
      <c r="Y46" s="225">
        <f t="shared" si="20"/>
        <v>16.713213975906406</v>
      </c>
      <c r="Z46" s="225">
        <f t="shared" si="21"/>
        <v>91.443401671121507</v>
      </c>
      <c r="AA46" s="225">
        <f t="shared" si="22"/>
        <v>26.169021319172593</v>
      </c>
      <c r="AB46" s="223">
        <f t="shared" si="23"/>
        <v>20.334764631715402</v>
      </c>
      <c r="AC46" s="224">
        <f t="shared" si="24"/>
        <v>-0.31815648042610373</v>
      </c>
      <c r="AD46" s="224">
        <f t="shared" si="25"/>
        <v>-0.17044725970087896</v>
      </c>
      <c r="AE46" s="223">
        <f t="shared" si="26"/>
        <v>17.698141114085967</v>
      </c>
      <c r="AH46" s="211"/>
    </row>
    <row r="47" spans="1:36" x14ac:dyDescent="0.25">
      <c r="A47" s="212"/>
      <c r="B47" s="213">
        <f t="shared" si="27"/>
        <v>6</v>
      </c>
      <c r="C47" s="214">
        <f t="shared" si="28"/>
        <v>42395</v>
      </c>
      <c r="D47" s="215">
        <f t="shared" si="29"/>
        <v>60</v>
      </c>
      <c r="E47" s="215">
        <f t="shared" si="4"/>
        <v>0</v>
      </c>
      <c r="F47" s="216">
        <f t="shared" si="5"/>
        <v>96</v>
      </c>
      <c r="G47" s="217">
        <f t="shared" si="6"/>
        <v>1.8562670743766683</v>
      </c>
      <c r="H47" s="218">
        <f t="shared" si="7"/>
        <v>1.5903047131842485</v>
      </c>
      <c r="I47" s="219">
        <f t="shared" si="8"/>
        <v>3.2625154602939808</v>
      </c>
      <c r="J47" s="220">
        <f t="shared" si="9"/>
        <v>326.25154602939807</v>
      </c>
      <c r="K47" s="215">
        <f t="shared" si="10"/>
        <v>5437.5257671566342</v>
      </c>
      <c r="L47" s="226">
        <v>504.35</v>
      </c>
      <c r="M47" s="221">
        <f t="shared" si="30"/>
        <v>0.12902628786192138</v>
      </c>
      <c r="N47" s="224">
        <f t="shared" si="31"/>
        <v>0.95465956221184589</v>
      </c>
      <c r="O47" s="222">
        <f t="shared" si="32"/>
        <v>0.37238558768139812</v>
      </c>
      <c r="P47" s="223">
        <f t="shared" si="11"/>
        <v>93.404622253637299</v>
      </c>
      <c r="Q47" s="223">
        <f t="shared" si="12"/>
        <v>54.883271419098023</v>
      </c>
      <c r="R47" s="223">
        <f t="shared" si="13"/>
        <v>45.435010280619416</v>
      </c>
      <c r="S47" s="223">
        <f t="shared" si="14"/>
        <v>45.435010280619416</v>
      </c>
      <c r="T47" s="224">
        <f t="shared" si="15"/>
        <v>1.5180531786760598E-2</v>
      </c>
      <c r="U47" s="225">
        <f t="shared" si="16"/>
        <v>45.435010280619416</v>
      </c>
      <c r="V47" s="225">
        <f t="shared" si="17"/>
        <v>0</v>
      </c>
      <c r="W47" s="225">
        <f t="shared" si="18"/>
        <v>70.831999999999994</v>
      </c>
      <c r="X47" s="225">
        <f t="shared" si="19"/>
        <v>116.26701028061942</v>
      </c>
      <c r="Y47" s="225">
        <f t="shared" si="20"/>
        <v>17.549590715476558</v>
      </c>
      <c r="Z47" s="225">
        <f t="shared" si="21"/>
        <v>98.765591023586836</v>
      </c>
      <c r="AA47" s="225">
        <f t="shared" si="22"/>
        <v>29.314943004658826</v>
      </c>
      <c r="AB47" s="223">
        <f t="shared" si="23"/>
        <v>21.62784771054551</v>
      </c>
      <c r="AC47" s="224">
        <f t="shared" si="24"/>
        <v>-0.2607253370484473</v>
      </c>
      <c r="AD47" s="224">
        <f t="shared" si="25"/>
        <v>-8.3683574005499084E-2</v>
      </c>
      <c r="AE47" s="223">
        <f t="shared" si="26"/>
        <v>19.181414374174619</v>
      </c>
      <c r="AH47" s="211"/>
    </row>
    <row r="48" spans="1:36" x14ac:dyDescent="0.25">
      <c r="A48" s="212"/>
      <c r="B48" s="213">
        <f t="shared" si="27"/>
        <v>7</v>
      </c>
      <c r="C48" s="214">
        <f t="shared" si="28"/>
        <v>42402</v>
      </c>
      <c r="D48" s="215">
        <f t="shared" si="29"/>
        <v>60</v>
      </c>
      <c r="E48" s="215">
        <f t="shared" si="4"/>
        <v>5</v>
      </c>
      <c r="F48" s="216">
        <f t="shared" si="5"/>
        <v>103</v>
      </c>
      <c r="G48" s="217">
        <f t="shared" si="6"/>
        <v>1.9905369749958906</v>
      </c>
      <c r="H48" s="218">
        <f t="shared" si="7"/>
        <v>1.6758212259290648</v>
      </c>
      <c r="I48" s="219">
        <f t="shared" si="8"/>
        <v>2.9794703883296449</v>
      </c>
      <c r="J48" s="220">
        <f t="shared" si="9"/>
        <v>297.94703883296449</v>
      </c>
      <c r="K48" s="215">
        <f t="shared" si="10"/>
        <v>4965.7839805494086</v>
      </c>
      <c r="L48" s="226">
        <v>562</v>
      </c>
      <c r="M48" s="221">
        <f t="shared" si="30"/>
        <v>0.12410113544957772</v>
      </c>
      <c r="N48" s="224">
        <f t="shared" si="31"/>
        <v>0.9576086898760845</v>
      </c>
      <c r="O48" s="222">
        <f t="shared" si="32"/>
        <v>0.38345155927234281</v>
      </c>
      <c r="P48" s="223">
        <f t="shared" si="11"/>
        <v>90.478035740099799</v>
      </c>
      <c r="Q48" s="223">
        <f t="shared" si="12"/>
        <v>51.992765590143577</v>
      </c>
      <c r="R48" s="223">
        <f t="shared" si="13"/>
        <v>47.895261624539351</v>
      </c>
      <c r="S48" s="223">
        <f t="shared" si="14"/>
        <v>47.895261624539351</v>
      </c>
      <c r="T48" s="224">
        <f t="shared" si="15"/>
        <v>3.6703516776949163E-2</v>
      </c>
      <c r="U48" s="225">
        <f t="shared" si="16"/>
        <v>47.895261624539351</v>
      </c>
      <c r="V48" s="225">
        <f t="shared" si="17"/>
        <v>0</v>
      </c>
      <c r="W48" s="225">
        <f t="shared" si="18"/>
        <v>70.831999999999994</v>
      </c>
      <c r="X48" s="225">
        <f t="shared" si="19"/>
        <v>118.72726162453935</v>
      </c>
      <c r="Y48" s="225">
        <f t="shared" si="20"/>
        <v>17.631136350259919</v>
      </c>
      <c r="Z48" s="225">
        <f t="shared" si="21"/>
        <v>101.25554273554744</v>
      </c>
      <c r="AA48" s="225">
        <f t="shared" si="22"/>
        <v>30.761112751686415</v>
      </c>
      <c r="AB48" s="223">
        <f t="shared" si="23"/>
        <v>23.005176664813519</v>
      </c>
      <c r="AC48" s="224">
        <f t="shared" si="24"/>
        <v>-0.23060910255033731</v>
      </c>
      <c r="AD48" s="224">
        <f t="shared" si="25"/>
        <v>-3.7305853988071097E-2</v>
      </c>
      <c r="AE48" s="223">
        <f t="shared" si="26"/>
        <v>20.60255092556697</v>
      </c>
      <c r="AH48" s="211"/>
    </row>
    <row r="49" spans="1:34" x14ac:dyDescent="0.25">
      <c r="A49" s="212"/>
      <c r="B49" s="213">
        <f t="shared" si="27"/>
        <v>8</v>
      </c>
      <c r="C49" s="214">
        <f t="shared" si="28"/>
        <v>42409</v>
      </c>
      <c r="D49" s="215">
        <f t="shared" si="29"/>
        <v>55</v>
      </c>
      <c r="E49" s="215">
        <f t="shared" si="4"/>
        <v>10</v>
      </c>
      <c r="F49" s="216">
        <f t="shared" si="5"/>
        <v>110</v>
      </c>
      <c r="G49" s="217">
        <f t="shared" si="6"/>
        <v>2.1347548314748592</v>
      </c>
      <c r="H49" s="218">
        <f t="shared" si="7"/>
        <v>1.7660825679200494</v>
      </c>
      <c r="I49" s="219">
        <f t="shared" si="8"/>
        <v>2.7282035569578698</v>
      </c>
      <c r="J49" s="220">
        <f t="shared" si="9"/>
        <v>272.82035569578699</v>
      </c>
      <c r="K49" s="215">
        <f t="shared" si="10"/>
        <v>4960.3701035597633</v>
      </c>
      <c r="L49" s="226">
        <v>630</v>
      </c>
      <c r="M49" s="221">
        <f t="shared" si="30"/>
        <v>0.11852991897240758</v>
      </c>
      <c r="N49" s="224">
        <f t="shared" si="31"/>
        <v>0.96</v>
      </c>
      <c r="O49" s="222">
        <f t="shared" si="32"/>
        <v>0.3958389081110758</v>
      </c>
      <c r="P49" s="223">
        <f t="shared" si="11"/>
        <v>87.400094842967263</v>
      </c>
      <c r="Q49" s="223">
        <f t="shared" si="12"/>
        <v>52.656887628497991</v>
      </c>
      <c r="R49" s="223">
        <f t="shared" si="13"/>
        <v>50.252569665319804</v>
      </c>
      <c r="S49" s="223">
        <f t="shared" si="14"/>
        <v>50.252569665319804</v>
      </c>
      <c r="T49" s="224">
        <f t="shared" si="15"/>
        <v>4.4073907299241988E-2</v>
      </c>
      <c r="U49" s="225">
        <f t="shared" si="16"/>
        <v>50.252569665319804</v>
      </c>
      <c r="V49" s="225">
        <f t="shared" si="17"/>
        <v>0</v>
      </c>
      <c r="W49" s="225">
        <f t="shared" si="18"/>
        <v>70.831999999999994</v>
      </c>
      <c r="X49" s="225">
        <f t="shared" si="19"/>
        <v>121.0845696653198</v>
      </c>
      <c r="Y49" s="225">
        <f t="shared" si="20"/>
        <v>17.643713010585621</v>
      </c>
      <c r="Z49" s="225">
        <f t="shared" si="21"/>
        <v>103.63309087870701</v>
      </c>
      <c r="AA49" s="225">
        <f t="shared" si="22"/>
        <v>32.287522306095958</v>
      </c>
      <c r="AB49" s="223">
        <f t="shared" si="23"/>
        <v>24.458925838920315</v>
      </c>
      <c r="AC49" s="224">
        <f t="shared" si="24"/>
        <v>-0.1997156920323952</v>
      </c>
      <c r="AD49" s="224">
        <f t="shared" si="25"/>
        <v>1.1758988595873014E-2</v>
      </c>
      <c r="AE49" s="223">
        <f t="shared" si="26"/>
        <v>22.122166759428083</v>
      </c>
      <c r="AH49" s="211"/>
    </row>
    <row r="50" spans="1:34" x14ac:dyDescent="0.25">
      <c r="A50" s="212"/>
      <c r="B50" s="213">
        <f t="shared" si="27"/>
        <v>9</v>
      </c>
      <c r="C50" s="214">
        <f t="shared" si="28"/>
        <v>42416</v>
      </c>
      <c r="D50" s="215">
        <f t="shared" si="29"/>
        <v>45</v>
      </c>
      <c r="E50" s="215">
        <f t="shared" si="4"/>
        <v>5</v>
      </c>
      <c r="F50" s="216">
        <f t="shared" si="5"/>
        <v>117</v>
      </c>
      <c r="G50" s="223">
        <f t="shared" si="6"/>
        <v>2.2896099987908558</v>
      </c>
      <c r="H50" s="227">
        <f t="shared" si="7"/>
        <v>1.8613203893893524</v>
      </c>
      <c r="I50" s="219">
        <f t="shared" si="8"/>
        <v>2.4604355693006315</v>
      </c>
      <c r="J50" s="220">
        <f t="shared" si="9"/>
        <v>246.04355693006315</v>
      </c>
      <c r="K50" s="220">
        <f t="shared" si="10"/>
        <v>5467.6345984458476</v>
      </c>
      <c r="L50" s="226">
        <v>687</v>
      </c>
      <c r="M50" s="221">
        <f t="shared" si="30"/>
        <v>0.11405062758294801</v>
      </c>
      <c r="N50" s="224">
        <f t="shared" si="31"/>
        <v>0.96</v>
      </c>
      <c r="O50" s="222">
        <f t="shared" si="32"/>
        <v>0.40569506319963611</v>
      </c>
      <c r="P50" s="223">
        <f t="shared" si="11"/>
        <v>82.794101809530119</v>
      </c>
      <c r="Q50" s="223">
        <f t="shared" si="12"/>
        <v>56.302412863427648</v>
      </c>
      <c r="R50" s="223">
        <f t="shared" si="13"/>
        <v>53.001604050533658</v>
      </c>
      <c r="S50" s="223">
        <f t="shared" si="14"/>
        <v>53.001604050533658</v>
      </c>
      <c r="T50" s="224">
        <f t="shared" si="15"/>
        <v>3.7458121205467765E-2</v>
      </c>
      <c r="U50" s="225">
        <f t="shared" si="16"/>
        <v>53.001604050533658</v>
      </c>
      <c r="V50" s="225">
        <f t="shared" si="17"/>
        <v>0</v>
      </c>
      <c r="W50" s="225">
        <f t="shared" si="18"/>
        <v>70.831999999999994</v>
      </c>
      <c r="X50" s="225">
        <f t="shared" si="19"/>
        <v>123.83360405053365</v>
      </c>
      <c r="Y50" s="225">
        <f t="shared" si="20"/>
        <v>17.732146204866282</v>
      </c>
      <c r="Z50" s="225">
        <f t="shared" si="21"/>
        <v>106.2721638885123</v>
      </c>
      <c r="AA50" s="225">
        <f t="shared" si="22"/>
        <v>33.89808910496334</v>
      </c>
      <c r="AB50" s="223">
        <f t="shared" si="23"/>
        <v>25.992826191504911</v>
      </c>
      <c r="AC50" s="224">
        <f t="shared" si="24"/>
        <v>-0.16080706028481226</v>
      </c>
      <c r="AD50" s="224">
        <f t="shared" si="25"/>
        <v>6.7780128363444589E-2</v>
      </c>
      <c r="AE50" s="223">
        <f t="shared" si="26"/>
        <v>23.800889782346097</v>
      </c>
      <c r="AH50" s="211"/>
    </row>
    <row r="51" spans="1:34" x14ac:dyDescent="0.25">
      <c r="A51" s="228"/>
      <c r="B51" s="229">
        <f t="shared" si="27"/>
        <v>10</v>
      </c>
      <c r="C51" s="230">
        <f t="shared" si="28"/>
        <v>42423</v>
      </c>
      <c r="D51" s="231">
        <f t="shared" si="29"/>
        <v>40</v>
      </c>
      <c r="E51" s="231">
        <f t="shared" si="4"/>
        <v>0</v>
      </c>
      <c r="F51" s="232">
        <f t="shared" si="5"/>
        <v>124</v>
      </c>
      <c r="G51" s="233">
        <f t="shared" si="6"/>
        <v>2.4562162272672783</v>
      </c>
      <c r="H51" s="233">
        <f t="shared" si="7"/>
        <v>1.9620042653488989</v>
      </c>
      <c r="I51" s="234">
        <f t="shared" si="8"/>
        <v>2.1734243409468958</v>
      </c>
      <c r="J51" s="231">
        <f t="shared" si="9"/>
        <v>217.34243409468959</v>
      </c>
      <c r="K51" s="231">
        <f t="shared" si="10"/>
        <v>5433.5608523672399</v>
      </c>
      <c r="L51" s="235">
        <v>752</v>
      </c>
      <c r="M51" s="236">
        <f t="shared" si="30"/>
        <v>0.1091461318995598</v>
      </c>
      <c r="N51" s="237">
        <f t="shared" si="31"/>
        <v>0.96</v>
      </c>
      <c r="O51" s="237">
        <f t="shared" si="32"/>
        <v>0.41637777858050146</v>
      </c>
      <c r="P51" s="233">
        <f t="shared" si="11"/>
        <v>77.634321914554278</v>
      </c>
      <c r="Q51" s="233">
        <f t="shared" si="12"/>
        <v>60.156402852891659</v>
      </c>
      <c r="R51" s="233">
        <f t="shared" si="13"/>
        <v>55.73100997470452</v>
      </c>
      <c r="S51" s="233">
        <f t="shared" si="14"/>
        <v>55.73100997470452</v>
      </c>
      <c r="T51" s="237">
        <f t="shared" si="15"/>
        <v>4.5928012820697472E-2</v>
      </c>
      <c r="U51" s="233">
        <f t="shared" si="16"/>
        <v>55.73100997470452</v>
      </c>
      <c r="V51" s="233">
        <f t="shared" si="17"/>
        <v>0</v>
      </c>
      <c r="W51" s="233">
        <f t="shared" si="18"/>
        <v>70.831999999999994</v>
      </c>
      <c r="X51" s="233">
        <f t="shared" si="19"/>
        <v>126.56300997470451</v>
      </c>
      <c r="Y51" s="233">
        <f t="shared" si="20"/>
        <v>17.77010416559478</v>
      </c>
      <c r="Z51" s="233">
        <f t="shared" si="21"/>
        <v>108.89239357571634</v>
      </c>
      <c r="AA51" s="233">
        <f t="shared" si="22"/>
        <v>35.600754131315234</v>
      </c>
      <c r="AB51" s="233">
        <f t="shared" si="23"/>
        <v>27.614440697709369</v>
      </c>
      <c r="AC51" s="237">
        <f t="shared" si="24"/>
        <v>-0.11857990818325258</v>
      </c>
      <c r="AD51" s="237">
        <f t="shared" si="25"/>
        <v>0.12891086144595215</v>
      </c>
      <c r="AE51" s="233">
        <f t="shared" si="26"/>
        <v>25.621703360781886</v>
      </c>
      <c r="AH51" s="211"/>
    </row>
  </sheetData>
  <sheetProtection sheet="1" objects="1" scenarios="1" formatCells="0" formatColumns="0" formatRows="0" insertColumns="0" insertRows="0" insertHyperlinks="0" deleteColumns="0" deleteRows="0" selectLockedCells="1" sort="0"/>
  <mergeCells count="50">
    <mergeCell ref="K5:N6"/>
    <mergeCell ref="P5:R6"/>
    <mergeCell ref="A6:H6"/>
    <mergeCell ref="C7:F7"/>
    <mergeCell ref="P7:P8"/>
    <mergeCell ref="Q7:R7"/>
    <mergeCell ref="A8:A11"/>
    <mergeCell ref="B8:B9"/>
    <mergeCell ref="C8:F8"/>
    <mergeCell ref="K8:K9"/>
    <mergeCell ref="A12:A26"/>
    <mergeCell ref="B12:B16"/>
    <mergeCell ref="C12:F12"/>
    <mergeCell ref="K12:K13"/>
    <mergeCell ref="C13:F13"/>
    <mergeCell ref="C9:F9"/>
    <mergeCell ref="B10:B11"/>
    <mergeCell ref="C10:F10"/>
    <mergeCell ref="K10:K11"/>
    <mergeCell ref="C11:F11"/>
    <mergeCell ref="K14:K15"/>
    <mergeCell ref="K16:K17"/>
    <mergeCell ref="B17:B21"/>
    <mergeCell ref="C17:F17"/>
    <mergeCell ref="C18:F18"/>
    <mergeCell ref="K18:K19"/>
    <mergeCell ref="AD18:AE18"/>
    <mergeCell ref="AF18:AG18"/>
    <mergeCell ref="B22:B26"/>
    <mergeCell ref="M22:N22"/>
    <mergeCell ref="P22:R24"/>
    <mergeCell ref="C23:F23"/>
    <mergeCell ref="C24:F24"/>
    <mergeCell ref="K24:N25"/>
    <mergeCell ref="AC24:AF24"/>
    <mergeCell ref="C25:F25"/>
    <mergeCell ref="A27:A34"/>
    <mergeCell ref="B27:B29"/>
    <mergeCell ref="K27:K28"/>
    <mergeCell ref="AC28:AF28"/>
    <mergeCell ref="K29:K30"/>
    <mergeCell ref="B30:B32"/>
    <mergeCell ref="K31:K32"/>
    <mergeCell ref="AC32:AF32"/>
    <mergeCell ref="B33:B34"/>
    <mergeCell ref="K33:K34"/>
    <mergeCell ref="AD33:AE33"/>
    <mergeCell ref="B39:H39"/>
    <mergeCell ref="AB39:AE39"/>
    <mergeCell ref="Q25:R25"/>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6"/>
  <sheetViews>
    <sheetView workbookViewId="0"/>
  </sheetViews>
  <sheetFormatPr baseColWidth="10" defaultRowHeight="15" x14ac:dyDescent="0.25"/>
  <sheetData>
    <row r="1" spans="1:40" ht="31.5" x14ac:dyDescent="0.5">
      <c r="A1" s="238" t="s">
        <v>173</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40" ht="31.5" customHeight="1" x14ac:dyDescent="0.25">
      <c r="A2" s="340" t="s">
        <v>183</v>
      </c>
      <c r="B2" s="340"/>
      <c r="C2" s="340"/>
      <c r="D2" s="340"/>
      <c r="E2" s="340"/>
      <c r="F2" s="340"/>
      <c r="G2" s="340"/>
      <c r="H2" s="340"/>
      <c r="I2" s="340"/>
      <c r="J2" s="340"/>
      <c r="K2" s="340"/>
      <c r="L2" s="340"/>
      <c r="M2" s="340"/>
      <c r="N2" s="340"/>
      <c r="O2" s="2"/>
      <c r="P2" s="2"/>
      <c r="Q2" s="2"/>
      <c r="R2" s="2"/>
      <c r="S2" s="2"/>
      <c r="T2" s="2"/>
      <c r="U2" s="2"/>
      <c r="V2" s="2"/>
      <c r="W2" s="2"/>
      <c r="X2" s="2"/>
      <c r="Y2" s="2"/>
      <c r="Z2" s="2"/>
      <c r="AA2" s="2"/>
      <c r="AB2" s="2"/>
      <c r="AC2" s="2"/>
      <c r="AD2" s="2"/>
      <c r="AE2" s="2"/>
      <c r="AF2" s="2"/>
    </row>
    <row r="3" spans="1:40"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row>
    <row r="4" spans="1:40" x14ac:dyDescent="0.25">
      <c r="A4" s="2"/>
      <c r="B4" s="2"/>
      <c r="C4" s="2"/>
      <c r="D4" s="343" t="s">
        <v>174</v>
      </c>
      <c r="E4" s="344"/>
      <c r="F4" s="343" t="s">
        <v>175</v>
      </c>
      <c r="G4" s="344"/>
      <c r="H4" s="343" t="s">
        <v>176</v>
      </c>
      <c r="I4" s="344"/>
      <c r="J4" s="343" t="s">
        <v>177</v>
      </c>
      <c r="K4" s="344"/>
      <c r="L4" s="343" t="s">
        <v>174</v>
      </c>
      <c r="M4" s="344"/>
      <c r="N4" s="343" t="s">
        <v>175</v>
      </c>
      <c r="O4" s="344"/>
      <c r="P4" s="343" t="s">
        <v>176</v>
      </c>
      <c r="Q4" s="344"/>
      <c r="R4" s="343" t="s">
        <v>177</v>
      </c>
      <c r="S4" s="344"/>
      <c r="T4" s="2"/>
      <c r="U4" s="2"/>
      <c r="V4" s="2"/>
      <c r="W4" s="2"/>
      <c r="X4" s="2"/>
      <c r="Y4" s="2"/>
      <c r="Z4" s="2"/>
      <c r="AA4" s="2"/>
      <c r="AB4" s="2"/>
      <c r="AC4" s="2"/>
      <c r="AD4" s="2"/>
      <c r="AE4" s="2"/>
      <c r="AF4" s="2"/>
    </row>
    <row r="5" spans="1:40" x14ac:dyDescent="0.25">
      <c r="A5" s="2"/>
      <c r="B5" s="2"/>
      <c r="C5" s="2"/>
      <c r="D5" s="338" t="s">
        <v>179</v>
      </c>
      <c r="E5" s="339"/>
      <c r="F5" s="338" t="s">
        <v>180</v>
      </c>
      <c r="G5" s="339"/>
      <c r="H5" s="338" t="s">
        <v>181</v>
      </c>
      <c r="I5" s="339"/>
      <c r="J5" s="338" t="s">
        <v>182</v>
      </c>
      <c r="K5" s="339"/>
      <c r="L5" s="338" t="s">
        <v>179</v>
      </c>
      <c r="M5" s="339"/>
      <c r="N5" s="338" t="s">
        <v>180</v>
      </c>
      <c r="O5" s="339"/>
      <c r="P5" s="338" t="s">
        <v>181</v>
      </c>
      <c r="Q5" s="339"/>
      <c r="R5" s="338" t="s">
        <v>182</v>
      </c>
      <c r="S5" s="339"/>
      <c r="T5" s="2"/>
      <c r="U5" s="2"/>
      <c r="V5" s="2"/>
      <c r="W5" s="2"/>
      <c r="X5" s="2"/>
      <c r="Y5" s="2"/>
      <c r="Z5" s="2"/>
      <c r="AA5" s="2"/>
      <c r="AB5" s="2"/>
      <c r="AC5" s="2"/>
      <c r="AD5" s="2"/>
      <c r="AE5" s="2"/>
      <c r="AF5" s="2"/>
    </row>
    <row r="6" spans="1:40" x14ac:dyDescent="0.25">
      <c r="A6" s="149" t="s">
        <v>42</v>
      </c>
      <c r="B6" s="150"/>
      <c r="C6" s="135" t="s">
        <v>53</v>
      </c>
      <c r="D6" s="346" t="s">
        <v>178</v>
      </c>
      <c r="E6" s="346"/>
      <c r="F6" s="346" t="s">
        <v>178</v>
      </c>
      <c r="G6" s="346"/>
      <c r="H6" s="346" t="s">
        <v>178</v>
      </c>
      <c r="I6" s="346"/>
      <c r="J6" s="346" t="s">
        <v>178</v>
      </c>
      <c r="K6" s="346"/>
      <c r="L6" s="346" t="s">
        <v>135</v>
      </c>
      <c r="M6" s="346"/>
      <c r="N6" s="346" t="s">
        <v>135</v>
      </c>
      <c r="O6" s="346"/>
      <c r="P6" s="346" t="s">
        <v>135</v>
      </c>
      <c r="Q6" s="346"/>
      <c r="R6" s="346" t="s">
        <v>135</v>
      </c>
      <c r="S6" s="346"/>
      <c r="T6" s="2"/>
      <c r="U6" s="2"/>
      <c r="V6" s="2"/>
      <c r="W6" s="2"/>
      <c r="X6" s="2"/>
      <c r="Y6" s="2"/>
      <c r="Z6" s="2"/>
      <c r="AA6" s="2"/>
      <c r="AB6" s="2"/>
      <c r="AC6" s="2"/>
      <c r="AD6" s="2"/>
      <c r="AE6" s="2"/>
      <c r="AF6" s="2"/>
      <c r="AG6" s="2"/>
      <c r="AH6" s="2"/>
      <c r="AI6" s="2"/>
      <c r="AJ6" s="2"/>
      <c r="AK6" s="2"/>
      <c r="AL6" s="2"/>
    </row>
    <row r="7" spans="1:40" x14ac:dyDescent="0.25">
      <c r="A7" s="244" t="s">
        <v>80</v>
      </c>
      <c r="B7" s="245"/>
      <c r="C7" s="135" t="s">
        <v>10</v>
      </c>
      <c r="D7" s="345">
        <v>0.245</v>
      </c>
      <c r="E7" s="345"/>
      <c r="F7" s="345">
        <v>0.159</v>
      </c>
      <c r="G7" s="345"/>
      <c r="H7" s="345">
        <v>0.155</v>
      </c>
      <c r="I7" s="345"/>
      <c r="J7" s="345">
        <v>0.188</v>
      </c>
      <c r="K7" s="345"/>
      <c r="L7" s="345">
        <v>0.246</v>
      </c>
      <c r="M7" s="345"/>
      <c r="N7" s="345">
        <v>0.20599999999999999</v>
      </c>
      <c r="O7" s="345"/>
      <c r="P7" s="345">
        <v>0.22900000000000001</v>
      </c>
      <c r="Q7" s="345"/>
      <c r="R7" s="345">
        <v>0.254</v>
      </c>
      <c r="S7" s="345"/>
      <c r="T7" s="2"/>
      <c r="U7" s="2"/>
      <c r="V7" s="2"/>
      <c r="W7" s="2"/>
      <c r="X7" s="2"/>
      <c r="Y7" s="2"/>
      <c r="Z7" s="2"/>
      <c r="AA7" s="2"/>
      <c r="AB7" s="2"/>
      <c r="AC7" s="2"/>
      <c r="AD7" s="2"/>
      <c r="AE7" s="2"/>
      <c r="AF7" s="2"/>
      <c r="AG7" s="2"/>
      <c r="AH7" s="2"/>
      <c r="AI7" s="2"/>
      <c r="AJ7" s="2"/>
      <c r="AK7" s="2"/>
      <c r="AL7" s="2"/>
    </row>
    <row r="8" spans="1:40" x14ac:dyDescent="0.25">
      <c r="A8" s="244" t="s">
        <v>86</v>
      </c>
      <c r="B8" s="245"/>
      <c r="C8" s="135" t="s">
        <v>10</v>
      </c>
      <c r="D8" s="345">
        <v>0.89100000000000001</v>
      </c>
      <c r="E8" s="345"/>
      <c r="F8" s="345">
        <v>0.878</v>
      </c>
      <c r="G8" s="345"/>
      <c r="H8" s="345">
        <v>0.89400000000000002</v>
      </c>
      <c r="I8" s="345"/>
      <c r="J8" s="345">
        <v>0.88700000000000001</v>
      </c>
      <c r="K8" s="345"/>
      <c r="L8" s="345">
        <v>0.871</v>
      </c>
      <c r="M8" s="345"/>
      <c r="N8" s="345">
        <v>0.88300000000000001</v>
      </c>
      <c r="O8" s="345"/>
      <c r="P8" s="345">
        <v>0.88500000000000001</v>
      </c>
      <c r="Q8" s="345"/>
      <c r="R8" s="345">
        <v>0.85899999999999999</v>
      </c>
      <c r="S8" s="345"/>
      <c r="T8" s="2"/>
      <c r="U8" s="2"/>
      <c r="V8" s="2"/>
      <c r="W8" s="2"/>
      <c r="X8" s="2"/>
      <c r="Y8" s="2"/>
      <c r="Z8" s="2"/>
      <c r="AA8" s="2"/>
      <c r="AB8" s="2"/>
      <c r="AC8" s="2"/>
      <c r="AD8" s="2"/>
      <c r="AE8" s="2"/>
      <c r="AF8" s="2"/>
      <c r="AG8" s="2"/>
      <c r="AH8" s="2"/>
      <c r="AI8" s="2"/>
      <c r="AJ8" s="2"/>
      <c r="AK8" s="2"/>
      <c r="AL8" s="2"/>
    </row>
    <row r="9" spans="1:40" x14ac:dyDescent="0.25">
      <c r="A9" s="244" t="s">
        <v>78</v>
      </c>
      <c r="B9" s="245"/>
      <c r="C9" s="135" t="s">
        <v>10</v>
      </c>
      <c r="D9" s="345">
        <v>0.20599999999999999</v>
      </c>
      <c r="E9" s="345"/>
      <c r="F9" s="345">
        <v>0.28399999999999997</v>
      </c>
      <c r="G9" s="345"/>
      <c r="H9" s="345">
        <v>0.317</v>
      </c>
      <c r="I9" s="345"/>
      <c r="J9" s="345">
        <v>0.29499999999999998</v>
      </c>
      <c r="K9" s="345"/>
      <c r="L9" s="345">
        <v>0.25</v>
      </c>
      <c r="M9" s="345"/>
      <c r="N9" s="345">
        <v>0.30299999999999999</v>
      </c>
      <c r="O9" s="345"/>
      <c r="P9" s="345">
        <v>0.30299999999999999</v>
      </c>
      <c r="Q9" s="345"/>
      <c r="R9" s="345">
        <v>0.26400000000000001</v>
      </c>
      <c r="S9" s="345"/>
      <c r="T9" s="2"/>
      <c r="U9" s="2"/>
      <c r="V9" s="2"/>
      <c r="W9" s="2"/>
      <c r="X9" s="2"/>
      <c r="Y9" s="2"/>
      <c r="Z9" s="2"/>
      <c r="AA9" s="2"/>
      <c r="AB9" s="2"/>
      <c r="AC9" s="2"/>
      <c r="AD9" s="2"/>
      <c r="AE9" s="2"/>
      <c r="AF9" s="2"/>
      <c r="AG9" s="2"/>
      <c r="AH9" s="2"/>
      <c r="AI9" s="2"/>
      <c r="AJ9" s="2"/>
      <c r="AK9" s="2"/>
      <c r="AL9" s="2"/>
    </row>
    <row r="10" spans="1:40" x14ac:dyDescent="0.25">
      <c r="A10" s="2"/>
      <c r="B10" s="2"/>
      <c r="C10" s="2"/>
      <c r="D10" s="341"/>
      <c r="E10" s="342"/>
      <c r="F10" s="341"/>
      <c r="G10" s="342"/>
      <c r="H10" s="341"/>
      <c r="I10" s="342"/>
      <c r="J10" s="341"/>
      <c r="K10" s="342"/>
      <c r="L10" s="341"/>
      <c r="M10" s="342"/>
      <c r="N10" s="341"/>
      <c r="O10" s="342"/>
      <c r="P10" s="341"/>
      <c r="Q10" s="342"/>
      <c r="R10" s="341"/>
      <c r="S10" s="342"/>
      <c r="T10" s="2"/>
      <c r="U10" s="2"/>
      <c r="V10" s="2"/>
      <c r="W10" s="2"/>
      <c r="X10" s="2"/>
      <c r="Y10" s="2"/>
      <c r="Z10" s="2"/>
      <c r="AA10" s="2"/>
      <c r="AB10" s="2"/>
      <c r="AC10" s="2"/>
      <c r="AD10" s="2"/>
      <c r="AE10" s="2"/>
      <c r="AF10" s="2"/>
      <c r="AG10" s="2"/>
      <c r="AH10" s="2"/>
      <c r="AI10" s="2"/>
      <c r="AJ10" s="2"/>
      <c r="AK10" s="2"/>
      <c r="AL10" s="2"/>
      <c r="AM10" s="2"/>
      <c r="AN10" s="2"/>
    </row>
    <row r="11" spans="1:40" ht="45" x14ac:dyDescent="0.25">
      <c r="A11" s="2"/>
      <c r="B11" s="2"/>
      <c r="C11" s="191" t="s">
        <v>34</v>
      </c>
      <c r="D11" s="191" t="s">
        <v>37</v>
      </c>
      <c r="E11" s="191" t="s">
        <v>3</v>
      </c>
      <c r="F11" s="191" t="s">
        <v>37</v>
      </c>
      <c r="G11" s="191" t="s">
        <v>3</v>
      </c>
      <c r="H11" s="191" t="s">
        <v>37</v>
      </c>
      <c r="I11" s="191" t="s">
        <v>3</v>
      </c>
      <c r="J11" s="191" t="s">
        <v>37</v>
      </c>
      <c r="K11" s="191" t="s">
        <v>3</v>
      </c>
      <c r="L11" s="191" t="s">
        <v>37</v>
      </c>
      <c r="M11" s="191" t="s">
        <v>3</v>
      </c>
      <c r="N11" s="191" t="s">
        <v>37</v>
      </c>
      <c r="O11" s="191" t="s">
        <v>3</v>
      </c>
      <c r="P11" s="191" t="s">
        <v>37</v>
      </c>
      <c r="Q11" s="191" t="s">
        <v>3</v>
      </c>
      <c r="R11" s="191" t="s">
        <v>37</v>
      </c>
      <c r="S11" s="191" t="s">
        <v>3</v>
      </c>
      <c r="T11" s="2"/>
      <c r="U11" s="2"/>
      <c r="V11" s="2"/>
      <c r="W11" s="2"/>
      <c r="X11" s="2"/>
      <c r="Y11" s="2"/>
      <c r="Z11" s="2"/>
      <c r="AA11" s="2"/>
      <c r="AB11" s="2"/>
      <c r="AC11" s="2"/>
      <c r="AD11" s="2"/>
      <c r="AE11" s="2"/>
      <c r="AF11" s="2"/>
      <c r="AG11" s="2"/>
      <c r="AH11" s="2"/>
      <c r="AI11" s="2"/>
      <c r="AJ11" s="2"/>
      <c r="AK11" s="2"/>
      <c r="AL11" s="2"/>
      <c r="AM11" s="2"/>
      <c r="AN11" s="2"/>
    </row>
    <row r="12" spans="1:40" x14ac:dyDescent="0.25">
      <c r="A12" s="2"/>
      <c r="B12" s="2"/>
      <c r="C12" s="190" t="s">
        <v>35</v>
      </c>
      <c r="D12" s="196" t="s">
        <v>38</v>
      </c>
      <c r="E12" s="195" t="s">
        <v>7</v>
      </c>
      <c r="F12" s="196" t="s">
        <v>38</v>
      </c>
      <c r="G12" s="195" t="s">
        <v>7</v>
      </c>
      <c r="H12" s="196" t="s">
        <v>38</v>
      </c>
      <c r="I12" s="195" t="s">
        <v>7</v>
      </c>
      <c r="J12" s="196" t="s">
        <v>38</v>
      </c>
      <c r="K12" s="195" t="s">
        <v>7</v>
      </c>
      <c r="L12" s="196" t="s">
        <v>38</v>
      </c>
      <c r="M12" s="195" t="s">
        <v>7</v>
      </c>
      <c r="N12" s="196" t="s">
        <v>38</v>
      </c>
      <c r="O12" s="195" t="s">
        <v>7</v>
      </c>
      <c r="P12" s="196" t="s">
        <v>38</v>
      </c>
      <c r="Q12" s="195" t="s">
        <v>7</v>
      </c>
      <c r="R12" s="196" t="s">
        <v>38</v>
      </c>
      <c r="S12" s="195" t="s">
        <v>7</v>
      </c>
      <c r="T12" s="2"/>
      <c r="U12" s="2"/>
      <c r="V12" s="2"/>
      <c r="W12" s="2"/>
      <c r="X12" s="2"/>
      <c r="Y12" s="2"/>
      <c r="Z12" s="2"/>
      <c r="AA12" s="2"/>
      <c r="AB12" s="2"/>
      <c r="AC12" s="2"/>
      <c r="AD12" s="2"/>
      <c r="AE12" s="2"/>
      <c r="AF12" s="2"/>
      <c r="AG12" s="2"/>
      <c r="AH12" s="2"/>
      <c r="AI12" s="2"/>
      <c r="AJ12" s="2"/>
      <c r="AK12" s="2"/>
      <c r="AL12" s="2"/>
      <c r="AM12" s="2"/>
      <c r="AN12" s="2"/>
    </row>
    <row r="13" spans="1:40" x14ac:dyDescent="0.25">
      <c r="A13" s="252"/>
      <c r="B13" s="2"/>
      <c r="C13" s="199">
        <v>1</v>
      </c>
      <c r="D13" s="246">
        <v>50</v>
      </c>
      <c r="E13" s="249">
        <v>1.5</v>
      </c>
      <c r="F13" s="246">
        <v>353</v>
      </c>
      <c r="G13" s="249">
        <v>2.5</v>
      </c>
      <c r="H13" s="246">
        <v>300</v>
      </c>
      <c r="I13" s="249">
        <v>2</v>
      </c>
      <c r="J13" s="246">
        <v>200.1</v>
      </c>
      <c r="K13" s="249">
        <v>2.57</v>
      </c>
      <c r="L13" s="246">
        <v>50</v>
      </c>
      <c r="M13" s="249">
        <v>1</v>
      </c>
      <c r="N13" s="246">
        <v>353</v>
      </c>
      <c r="O13" s="249">
        <v>2.5</v>
      </c>
      <c r="P13" s="246">
        <v>300</v>
      </c>
      <c r="Q13" s="249">
        <v>2</v>
      </c>
      <c r="R13" s="246">
        <v>200.1</v>
      </c>
      <c r="S13" s="249">
        <v>2.5299999999999998</v>
      </c>
      <c r="T13" s="2"/>
      <c r="U13" s="2"/>
      <c r="V13" s="2"/>
      <c r="W13" s="2"/>
      <c r="X13" s="2"/>
      <c r="Y13" s="2"/>
      <c r="Z13" s="2"/>
      <c r="AA13" s="2"/>
      <c r="AB13" s="2"/>
      <c r="AC13" s="2"/>
      <c r="AD13" s="2"/>
      <c r="AE13" s="2"/>
      <c r="AF13" s="2"/>
      <c r="AG13" s="2"/>
      <c r="AH13" s="2"/>
      <c r="AI13" s="2"/>
      <c r="AJ13" s="2"/>
      <c r="AK13" s="2"/>
      <c r="AL13" s="2"/>
      <c r="AM13" s="2"/>
      <c r="AN13" s="2"/>
    </row>
    <row r="14" spans="1:40" x14ac:dyDescent="0.25">
      <c r="A14" s="252"/>
      <c r="B14" s="2"/>
      <c r="C14" s="213">
        <f>C13+1</f>
        <v>2</v>
      </c>
      <c r="D14" s="246">
        <v>97</v>
      </c>
      <c r="E14" s="250">
        <v>1.68</v>
      </c>
      <c r="F14" s="246">
        <v>418</v>
      </c>
      <c r="G14" s="250">
        <v>2.74</v>
      </c>
      <c r="H14" s="246">
        <v>405</v>
      </c>
      <c r="I14" s="250">
        <v>2.2400000000000002</v>
      </c>
      <c r="J14" s="246">
        <v>263.85000000000002</v>
      </c>
      <c r="K14" s="250">
        <v>2.63</v>
      </c>
      <c r="L14" s="246">
        <v>97</v>
      </c>
      <c r="M14" s="250">
        <v>1.31</v>
      </c>
      <c r="N14" s="246">
        <v>418</v>
      </c>
      <c r="O14" s="250">
        <v>2.67</v>
      </c>
      <c r="P14" s="246">
        <v>405</v>
      </c>
      <c r="Q14" s="250">
        <v>2.57</v>
      </c>
      <c r="R14" s="246">
        <v>263.85000000000002</v>
      </c>
      <c r="S14" s="250">
        <v>2.5299999999999998</v>
      </c>
      <c r="T14" s="2"/>
      <c r="U14" s="2"/>
      <c r="V14" s="2"/>
      <c r="W14" s="2"/>
      <c r="X14" s="2"/>
      <c r="Y14" s="2"/>
      <c r="Z14" s="2"/>
      <c r="AA14" s="2"/>
      <c r="AB14" s="2"/>
      <c r="AC14" s="2"/>
      <c r="AD14" s="2"/>
      <c r="AE14" s="2"/>
      <c r="AF14" s="2"/>
      <c r="AG14" s="2"/>
      <c r="AH14" s="2"/>
      <c r="AI14" s="2"/>
      <c r="AJ14" s="2"/>
      <c r="AK14" s="2"/>
      <c r="AL14" s="2"/>
      <c r="AM14" s="2"/>
      <c r="AN14" s="2"/>
    </row>
    <row r="15" spans="1:40" x14ac:dyDescent="0.25">
      <c r="A15" s="252"/>
      <c r="B15" s="2"/>
      <c r="C15" s="213">
        <f t="shared" ref="C15:C22" si="0">C14+1</f>
        <v>3</v>
      </c>
      <c r="D15" s="246">
        <v>134</v>
      </c>
      <c r="E15" s="250">
        <v>1.89</v>
      </c>
      <c r="F15" s="246">
        <v>503</v>
      </c>
      <c r="G15" s="250">
        <v>3.24</v>
      </c>
      <c r="H15" s="246">
        <v>518</v>
      </c>
      <c r="I15" s="250">
        <v>2.52</v>
      </c>
      <c r="J15" s="246">
        <v>324.3</v>
      </c>
      <c r="K15" s="250">
        <v>2.69</v>
      </c>
      <c r="L15" s="246">
        <v>134</v>
      </c>
      <c r="M15" s="250">
        <v>1.68</v>
      </c>
      <c r="N15" s="246">
        <v>503</v>
      </c>
      <c r="O15" s="250">
        <v>2.83</v>
      </c>
      <c r="P15" s="246">
        <v>518</v>
      </c>
      <c r="Q15" s="250">
        <v>3.19</v>
      </c>
      <c r="R15" s="246">
        <v>324.3</v>
      </c>
      <c r="S15" s="250">
        <v>2.5299999999999998</v>
      </c>
      <c r="T15" s="2"/>
      <c r="U15" s="2"/>
      <c r="V15" s="2"/>
      <c r="W15" s="2"/>
      <c r="X15" s="2"/>
      <c r="Y15" s="2"/>
      <c r="Z15" s="2"/>
      <c r="AA15" s="2"/>
      <c r="AB15" s="2"/>
      <c r="AC15" s="2"/>
      <c r="AD15" s="2"/>
      <c r="AE15" s="2"/>
      <c r="AF15" s="2"/>
      <c r="AG15" s="2"/>
      <c r="AH15" s="2"/>
      <c r="AI15" s="2"/>
      <c r="AJ15" s="2"/>
      <c r="AK15" s="2"/>
      <c r="AL15" s="2"/>
      <c r="AM15" s="2"/>
      <c r="AN15" s="2"/>
    </row>
    <row r="16" spans="1:40" x14ac:dyDescent="0.25">
      <c r="A16" s="252"/>
      <c r="B16" s="2"/>
      <c r="C16" s="213">
        <f t="shared" si="0"/>
        <v>4</v>
      </c>
      <c r="D16" s="246">
        <v>200</v>
      </c>
      <c r="E16" s="250">
        <v>2.0499999999999998</v>
      </c>
      <c r="F16" s="246">
        <v>591</v>
      </c>
      <c r="G16" s="250">
        <v>3.84</v>
      </c>
      <c r="H16" s="246">
        <v>629</v>
      </c>
      <c r="I16" s="250">
        <v>2.6</v>
      </c>
      <c r="J16" s="246">
        <v>403.9</v>
      </c>
      <c r="K16" s="250">
        <v>2.73</v>
      </c>
      <c r="L16" s="246">
        <v>200</v>
      </c>
      <c r="M16" s="250">
        <v>1.97</v>
      </c>
      <c r="N16" s="246">
        <v>591</v>
      </c>
      <c r="O16" s="250">
        <v>3.23</v>
      </c>
      <c r="P16" s="246">
        <v>629</v>
      </c>
      <c r="Q16" s="250">
        <v>3.68</v>
      </c>
      <c r="R16" s="246">
        <v>403.9</v>
      </c>
      <c r="S16" s="250">
        <v>2.5299999999999998</v>
      </c>
      <c r="T16" s="2"/>
      <c r="U16" s="2"/>
      <c r="V16" s="2"/>
      <c r="W16" s="2"/>
      <c r="X16" s="2"/>
      <c r="Y16" s="2"/>
      <c r="Z16" s="2"/>
      <c r="AA16" s="2"/>
      <c r="AB16" s="2"/>
      <c r="AC16" s="2"/>
      <c r="AD16" s="2"/>
      <c r="AE16" s="2"/>
      <c r="AF16" s="2"/>
      <c r="AG16" s="2"/>
      <c r="AH16" s="2"/>
      <c r="AI16" s="2"/>
      <c r="AJ16" s="2"/>
      <c r="AK16" s="2"/>
      <c r="AL16" s="2"/>
      <c r="AM16" s="2"/>
      <c r="AN16" s="2"/>
    </row>
    <row r="17" spans="1:40" x14ac:dyDescent="0.25">
      <c r="A17" s="252"/>
      <c r="B17" s="2"/>
      <c r="C17" s="213">
        <f t="shared" si="0"/>
        <v>5</v>
      </c>
      <c r="D17" s="247">
        <v>253</v>
      </c>
      <c r="E17" s="250">
        <v>2.2200000000000002</v>
      </c>
      <c r="F17" s="247">
        <v>695</v>
      </c>
      <c r="G17" s="250">
        <v>4.2</v>
      </c>
      <c r="H17" s="247">
        <v>757</v>
      </c>
      <c r="I17" s="250">
        <v>2.65</v>
      </c>
      <c r="J17" s="247">
        <v>461.85</v>
      </c>
      <c r="K17" s="250">
        <v>2.72</v>
      </c>
      <c r="L17" s="247">
        <v>253</v>
      </c>
      <c r="M17" s="250">
        <v>2.2599999999999998</v>
      </c>
      <c r="N17" s="247">
        <v>695</v>
      </c>
      <c r="O17" s="250">
        <v>3.83</v>
      </c>
      <c r="P17" s="247">
        <v>757</v>
      </c>
      <c r="Q17" s="250">
        <v>3.8</v>
      </c>
      <c r="R17" s="247">
        <v>461.85</v>
      </c>
      <c r="S17" s="250">
        <v>2.5499999999999998</v>
      </c>
      <c r="T17" s="2"/>
      <c r="U17" s="2"/>
      <c r="V17" s="2"/>
      <c r="W17" s="2"/>
      <c r="X17" s="2"/>
      <c r="Y17" s="2"/>
      <c r="Z17" s="2"/>
      <c r="AA17" s="2"/>
      <c r="AB17" s="2"/>
      <c r="AC17" s="2"/>
      <c r="AD17" s="2"/>
      <c r="AE17" s="2"/>
      <c r="AF17" s="2"/>
      <c r="AG17" s="2"/>
      <c r="AH17" s="2"/>
      <c r="AI17" s="2"/>
      <c r="AJ17" s="2"/>
      <c r="AK17" s="2"/>
      <c r="AL17" s="2"/>
      <c r="AM17" s="2"/>
      <c r="AN17" s="2"/>
    </row>
    <row r="18" spans="1:40" x14ac:dyDescent="0.25">
      <c r="A18" s="252"/>
      <c r="B18" s="2"/>
      <c r="C18" s="213">
        <f t="shared" si="0"/>
        <v>6</v>
      </c>
      <c r="D18" s="247">
        <v>309</v>
      </c>
      <c r="E18" s="250">
        <v>2.41</v>
      </c>
      <c r="F18" s="247">
        <v>782</v>
      </c>
      <c r="G18" s="250">
        <v>4.5999999999999996</v>
      </c>
      <c r="H18" s="247">
        <v>887</v>
      </c>
      <c r="I18" s="250">
        <v>2.82</v>
      </c>
      <c r="J18" s="247">
        <v>504.35</v>
      </c>
      <c r="K18" s="250">
        <v>2.73</v>
      </c>
      <c r="L18" s="247">
        <v>309</v>
      </c>
      <c r="M18" s="250">
        <v>2.58</v>
      </c>
      <c r="N18" s="247">
        <v>782</v>
      </c>
      <c r="O18" s="250">
        <v>4.49</v>
      </c>
      <c r="P18" s="247">
        <v>887</v>
      </c>
      <c r="Q18" s="250">
        <v>3.84</v>
      </c>
      <c r="R18" s="247">
        <v>504.35</v>
      </c>
      <c r="S18" s="250">
        <v>2.52</v>
      </c>
      <c r="T18" s="2"/>
      <c r="U18" s="2"/>
      <c r="V18" s="2"/>
      <c r="W18" s="2"/>
      <c r="X18" s="2"/>
      <c r="Y18" s="2"/>
      <c r="Z18" s="2"/>
      <c r="AA18" s="2"/>
      <c r="AB18" s="2"/>
      <c r="AC18" s="2"/>
      <c r="AD18" s="2"/>
      <c r="AE18" s="2"/>
      <c r="AF18" s="2"/>
      <c r="AG18" s="2"/>
      <c r="AH18" s="2"/>
      <c r="AI18" s="2"/>
      <c r="AJ18" s="2"/>
      <c r="AK18" s="2"/>
      <c r="AL18" s="2"/>
      <c r="AM18" s="2"/>
      <c r="AN18" s="2"/>
    </row>
    <row r="19" spans="1:40" x14ac:dyDescent="0.25">
      <c r="A19" s="252"/>
      <c r="B19" s="2"/>
      <c r="C19" s="213">
        <f t="shared" si="0"/>
        <v>7</v>
      </c>
      <c r="D19" s="247">
        <v>365</v>
      </c>
      <c r="E19" s="250">
        <v>2.4700000000000002</v>
      </c>
      <c r="F19" s="247">
        <v>877</v>
      </c>
      <c r="G19" s="250">
        <v>5.0199999999999996</v>
      </c>
      <c r="H19" s="247">
        <v>1008</v>
      </c>
      <c r="I19" s="250">
        <v>2.92</v>
      </c>
      <c r="J19" s="247">
        <v>562</v>
      </c>
      <c r="K19" s="250">
        <v>2.77</v>
      </c>
      <c r="L19" s="247">
        <v>365</v>
      </c>
      <c r="M19" s="250">
        <v>2.89</v>
      </c>
      <c r="N19" s="247">
        <v>877</v>
      </c>
      <c r="O19" s="250">
        <v>5.15</v>
      </c>
      <c r="P19" s="247">
        <v>1008</v>
      </c>
      <c r="Q19" s="250">
        <v>4.01</v>
      </c>
      <c r="R19" s="247">
        <v>562</v>
      </c>
      <c r="S19" s="250">
        <v>2.5299999999999998</v>
      </c>
      <c r="T19" s="2"/>
      <c r="U19" s="2"/>
      <c r="V19" s="2"/>
      <c r="W19" s="2"/>
      <c r="X19" s="2"/>
      <c r="Y19" s="2"/>
      <c r="Z19" s="2"/>
      <c r="AA19" s="2"/>
      <c r="AB19" s="2"/>
      <c r="AC19" s="2"/>
      <c r="AD19" s="2"/>
      <c r="AE19" s="2"/>
      <c r="AF19" s="2"/>
      <c r="AG19" s="2"/>
      <c r="AH19" s="2"/>
      <c r="AI19" s="2"/>
      <c r="AJ19" s="2"/>
      <c r="AK19" s="2"/>
      <c r="AL19" s="2"/>
      <c r="AM19" s="2"/>
      <c r="AN19" s="2"/>
    </row>
    <row r="20" spans="1:40" x14ac:dyDescent="0.25">
      <c r="A20" s="252"/>
      <c r="B20" s="2"/>
      <c r="C20" s="213">
        <f t="shared" si="0"/>
        <v>8</v>
      </c>
      <c r="D20" s="247">
        <v>404</v>
      </c>
      <c r="E20" s="250">
        <v>2.54</v>
      </c>
      <c r="F20" s="247">
        <v>977</v>
      </c>
      <c r="G20" s="250">
        <v>5.48</v>
      </c>
      <c r="H20" s="247">
        <v>1118</v>
      </c>
      <c r="I20" s="250">
        <v>2.98</v>
      </c>
      <c r="J20" s="247">
        <v>630</v>
      </c>
      <c r="K20" s="250">
        <v>2.78</v>
      </c>
      <c r="L20" s="247">
        <v>404</v>
      </c>
      <c r="M20" s="250">
        <v>3.2</v>
      </c>
      <c r="N20" s="247">
        <v>977</v>
      </c>
      <c r="O20" s="250">
        <v>5.5</v>
      </c>
      <c r="P20" s="247">
        <v>1118</v>
      </c>
      <c r="Q20" s="250">
        <v>4.21</v>
      </c>
      <c r="R20" s="247">
        <v>630</v>
      </c>
      <c r="S20" s="250">
        <v>2.5499999999999998</v>
      </c>
      <c r="T20" s="2"/>
      <c r="U20" s="2"/>
      <c r="V20" s="2"/>
      <c r="W20" s="2"/>
      <c r="X20" s="2"/>
      <c r="Y20" s="2"/>
      <c r="Z20" s="2"/>
      <c r="AA20" s="2"/>
      <c r="AB20" s="2"/>
      <c r="AC20" s="2"/>
      <c r="AD20" s="2"/>
      <c r="AE20" s="2"/>
      <c r="AF20" s="2"/>
      <c r="AG20" s="2"/>
      <c r="AH20" s="2"/>
      <c r="AI20" s="2"/>
      <c r="AJ20" s="2"/>
      <c r="AK20" s="2"/>
      <c r="AL20" s="2"/>
      <c r="AM20" s="2"/>
      <c r="AN20" s="2"/>
    </row>
    <row r="21" spans="1:40" x14ac:dyDescent="0.25">
      <c r="A21" s="252"/>
      <c r="B21" s="2"/>
      <c r="C21" s="213">
        <f t="shared" si="0"/>
        <v>9</v>
      </c>
      <c r="D21" s="247">
        <v>472</v>
      </c>
      <c r="E21" s="250">
        <v>2.73</v>
      </c>
      <c r="F21" s="247">
        <v>1070</v>
      </c>
      <c r="G21" s="250">
        <v>6.2</v>
      </c>
      <c r="H21" s="247">
        <v>1230</v>
      </c>
      <c r="I21" s="250">
        <v>3.08</v>
      </c>
      <c r="J21" s="247">
        <v>687</v>
      </c>
      <c r="K21" s="250">
        <v>2.77</v>
      </c>
      <c r="L21" s="247">
        <v>472</v>
      </c>
      <c r="M21" s="250">
        <v>3.72</v>
      </c>
      <c r="N21" s="247">
        <v>1070</v>
      </c>
      <c r="O21" s="250">
        <v>6.22</v>
      </c>
      <c r="P21" s="247">
        <v>1230</v>
      </c>
      <c r="Q21" s="250">
        <v>4.37</v>
      </c>
      <c r="R21" s="247">
        <v>687</v>
      </c>
      <c r="S21" s="250">
        <v>2.57</v>
      </c>
      <c r="T21" s="2"/>
      <c r="U21" s="2"/>
      <c r="V21" s="2"/>
      <c r="W21" s="2"/>
      <c r="X21" s="2"/>
      <c r="Y21" s="2"/>
      <c r="Z21" s="2"/>
      <c r="AA21" s="2"/>
      <c r="AB21" s="2"/>
      <c r="AC21" s="2"/>
      <c r="AD21" s="2"/>
      <c r="AE21" s="2"/>
      <c r="AF21" s="2"/>
      <c r="AG21" s="2"/>
      <c r="AH21" s="2"/>
      <c r="AI21" s="2"/>
      <c r="AJ21" s="2"/>
      <c r="AK21" s="2"/>
      <c r="AL21" s="2"/>
      <c r="AM21" s="2"/>
      <c r="AN21" s="2"/>
    </row>
    <row r="22" spans="1:40" x14ac:dyDescent="0.25">
      <c r="A22" s="252"/>
      <c r="B22" s="2"/>
      <c r="C22" s="229">
        <f t="shared" si="0"/>
        <v>10</v>
      </c>
      <c r="D22" s="248">
        <v>512</v>
      </c>
      <c r="E22" s="251">
        <v>2.98</v>
      </c>
      <c r="F22" s="248">
        <v>1159</v>
      </c>
      <c r="G22" s="251">
        <v>6.53</v>
      </c>
      <c r="H22" s="248">
        <v>1344</v>
      </c>
      <c r="I22" s="251">
        <v>3.3</v>
      </c>
      <c r="J22" s="248">
        <v>752</v>
      </c>
      <c r="K22" s="251">
        <v>2.75</v>
      </c>
      <c r="L22" s="248">
        <v>512</v>
      </c>
      <c r="M22" s="251">
        <v>4.09</v>
      </c>
      <c r="N22" s="248">
        <v>1159</v>
      </c>
      <c r="O22" s="251">
        <v>6.49</v>
      </c>
      <c r="P22" s="248">
        <v>1344</v>
      </c>
      <c r="Q22" s="251">
        <v>4.47</v>
      </c>
      <c r="R22" s="248">
        <v>752</v>
      </c>
      <c r="S22" s="251">
        <v>2.57</v>
      </c>
      <c r="T22" s="2"/>
      <c r="U22" s="2"/>
      <c r="V22" s="2"/>
      <c r="W22" s="2"/>
      <c r="X22" s="2"/>
      <c r="Y22" s="2"/>
      <c r="Z22" s="2"/>
      <c r="AA22" s="2"/>
      <c r="AB22" s="2"/>
      <c r="AC22" s="2"/>
      <c r="AD22" s="2"/>
      <c r="AE22" s="2"/>
      <c r="AF22" s="2"/>
      <c r="AG22" s="2"/>
      <c r="AH22" s="2"/>
      <c r="AI22" s="2"/>
      <c r="AJ22" s="2"/>
      <c r="AK22" s="2"/>
      <c r="AL22" s="2"/>
      <c r="AM22" s="2"/>
      <c r="AN22" s="2"/>
    </row>
    <row r="23" spans="1:40"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row>
    <row r="24" spans="1:40"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row>
    <row r="25" spans="1:40"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row>
    <row r="26" spans="1:40"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row>
    <row r="27" spans="1:40"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row>
    <row r="28" spans="1:40"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row>
    <row r="29" spans="1:40"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row>
    <row r="30" spans="1:40"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row>
    <row r="31" spans="1:40"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row>
    <row r="32" spans="1:40"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row>
    <row r="33" spans="1:32"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row>
    <row r="34" spans="1:32"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row>
    <row r="36" spans="1:32"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row>
    <row r="37" spans="1:32"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1:32"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row>
    <row r="41" spans="1:32"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row>
    <row r="42" spans="1:32"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row>
    <row r="43" spans="1:32"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row>
    <row r="44" spans="1:32"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row>
    <row r="45" spans="1:32"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row>
    <row r="46" spans="1:32"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row>
    <row r="48" spans="1:32"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row>
    <row r="49" spans="1:32"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row>
    <row r="50" spans="1:32"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row>
    <row r="51" spans="1:32"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row>
    <row r="52" spans="1:32"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row>
    <row r="53" spans="1:32"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row>
    <row r="54" spans="1:32"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row>
    <row r="55" spans="1:32"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row>
    <row r="56" spans="1:32"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1:32"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row>
    <row r="58" spans="1:32"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row>
    <row r="59" spans="1:32"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row>
    <row r="60" spans="1:32"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row>
    <row r="61" spans="1:32"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row>
    <row r="62" spans="1:32"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row>
    <row r="63" spans="1:32"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row>
    <row r="64" spans="1:32"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row>
    <row r="65" spans="1:32"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row>
    <row r="66" spans="1:32"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row>
    <row r="67" spans="1:32"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row>
    <row r="68" spans="1:32"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sheetData>
  <mergeCells count="57">
    <mergeCell ref="H7:I7"/>
    <mergeCell ref="J7:K7"/>
    <mergeCell ref="D8:E8"/>
    <mergeCell ref="P8:Q8"/>
    <mergeCell ref="P9:Q9"/>
    <mergeCell ref="L6:M6"/>
    <mergeCell ref="L7:M7"/>
    <mergeCell ref="L8:M8"/>
    <mergeCell ref="L9:M9"/>
    <mergeCell ref="R6:S6"/>
    <mergeCell ref="R7:S7"/>
    <mergeCell ref="R8:S8"/>
    <mergeCell ref="R9:S9"/>
    <mergeCell ref="D6:E6"/>
    <mergeCell ref="F6:G6"/>
    <mergeCell ref="H6:I6"/>
    <mergeCell ref="J6:K6"/>
    <mergeCell ref="D7:E7"/>
    <mergeCell ref="F7:G7"/>
    <mergeCell ref="N6:O6"/>
    <mergeCell ref="N7:O7"/>
    <mergeCell ref="N8:O8"/>
    <mergeCell ref="N9:O9"/>
    <mergeCell ref="P6:Q6"/>
    <mergeCell ref="P7:Q7"/>
    <mergeCell ref="F8:G8"/>
    <mergeCell ref="H8:I8"/>
    <mergeCell ref="J8:K8"/>
    <mergeCell ref="D9:E9"/>
    <mergeCell ref="F9:G9"/>
    <mergeCell ref="H9:I9"/>
    <mergeCell ref="J9:K9"/>
    <mergeCell ref="P10:Q10"/>
    <mergeCell ref="R10:S10"/>
    <mergeCell ref="D4:E4"/>
    <mergeCell ref="F4:G4"/>
    <mergeCell ref="H4:I4"/>
    <mergeCell ref="J4:K4"/>
    <mergeCell ref="L4:M4"/>
    <mergeCell ref="N4:O4"/>
    <mergeCell ref="P4:Q4"/>
    <mergeCell ref="R4:S4"/>
    <mergeCell ref="D10:E10"/>
    <mergeCell ref="F10:G10"/>
    <mergeCell ref="H10:I10"/>
    <mergeCell ref="J10:K10"/>
    <mergeCell ref="L10:M10"/>
    <mergeCell ref="N10:O10"/>
    <mergeCell ref="P5:Q5"/>
    <mergeCell ref="R5:S5"/>
    <mergeCell ref="A2:N2"/>
    <mergeCell ref="D5:E5"/>
    <mergeCell ref="F5:G5"/>
    <mergeCell ref="H5:I5"/>
    <mergeCell ref="J5:K5"/>
    <mergeCell ref="L5:M5"/>
    <mergeCell ref="N5:O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Introduction</vt:lpstr>
      <vt:lpstr>Cage</vt:lpstr>
      <vt:lpstr>Parc</vt:lpstr>
      <vt:lpstr>Prairies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saga</dc:creator>
  <cp:lastModifiedBy>Aude COULOMBEL</cp:lastModifiedBy>
  <dcterms:created xsi:type="dcterms:W3CDTF">2015-04-28T09:04:34Z</dcterms:created>
  <dcterms:modified xsi:type="dcterms:W3CDTF">2017-10-24T15:34:58Z</dcterms:modified>
</cp:coreProperties>
</file>